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C:\Users\angel\Desktop\ANGY F\SDM\SDM 2022\01 PROYECTOS DE INVERSIÓN\7673\PLAN DE ACCIÓN\"/>
    </mc:Choice>
  </mc:AlternateContent>
  <xr:revisionPtr revIDLastSave="0" documentId="13_ncr:1_{BE01C7F3-537C-430B-B98D-6CBE3CFA4B8D}" xr6:coauthVersionLast="47" xr6:coauthVersionMax="47" xr10:uidLastSave="{00000000-0000-0000-0000-000000000000}"/>
  <bookViews>
    <workbookView xWindow="-120" yWindow="-120" windowWidth="20730" windowHeight="11160" tabRatio="656" activeTab="1" xr2:uid="{00000000-000D-0000-FFFF-FFFF00000000}"/>
  </bookViews>
  <sheets>
    <sheet name="Meta 1" sheetId="43" r:id="rId1"/>
    <sheet name="Meta 2" sheetId="41" r:id="rId2"/>
    <sheet name="Meta 3" sheetId="42" r:id="rId3"/>
    <sheet name="Meta 4" sheetId="40" r:id="rId4"/>
    <sheet name="Meta 1..n" sheetId="1" state="hidden" r:id="rId5"/>
    <sheet name="Indicadores PA" sheetId="36" r:id="rId6"/>
    <sheet name="Territorialización PA" sheetId="45" r:id="rId7"/>
    <sheet name="Prog.Pptal" sheetId="46" r:id="rId8"/>
    <sheet name="Vigencia" sheetId="47" r:id="rId9"/>
    <sheet name="Reserva" sheetId="48" r:id="rId10"/>
    <sheet name="Instructivo" sheetId="39" r:id="rId11"/>
    <sheet name="Generalidades" sheetId="38" r:id="rId12"/>
    <sheet name="Hoja2" sheetId="49" r:id="rId13"/>
    <sheet name="Hoja13" sheetId="32" state="hidden" r:id="rId14"/>
    <sheet name="Hoja1" sheetId="20" state="hidden" r:id="rId15"/>
  </sheets>
  <definedNames>
    <definedName name="_xlnm._FilterDatabase" localSheetId="5" hidden="1">'Indicadores PA'!$A$12:$AX$12</definedName>
    <definedName name="_xlnm._FilterDatabase" localSheetId="8" hidden="1">Vigencia!$A$1:$BB$78</definedName>
    <definedName name="_xlnm.Print_Area" localSheetId="0">'Meta 1'!$A$1:$AD$49</definedName>
    <definedName name="_xlnm.Print_Area" localSheetId="1">'Meta 2'!$A$1:$AD$39</definedName>
    <definedName name="_xlnm.Print_Area" localSheetId="2">'Meta 3'!$A$1:$AD$47</definedName>
    <definedName name="_xlnm.Print_Area" localSheetId="3">'Meta 4'!$A$1:$AD$45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48" i="42" l="1"/>
  <c r="I11" i="49"/>
  <c r="I12" i="49"/>
  <c r="G8" i="49"/>
  <c r="D8" i="49"/>
  <c r="C8" i="49"/>
  <c r="B8" i="49"/>
  <c r="F8" i="49"/>
  <c r="E8" i="49"/>
  <c r="G7" i="49"/>
  <c r="G5" i="49"/>
  <c r="G6" i="49"/>
  <c r="G4" i="49"/>
  <c r="O6" i="46"/>
  <c r="O7" i="46"/>
  <c r="O11" i="46"/>
  <c r="P7" i="46"/>
  <c r="P6" i="46"/>
  <c r="P5" i="46"/>
  <c r="P4" i="46"/>
  <c r="P3" i="46"/>
  <c r="O5" i="46"/>
  <c r="O4" i="46"/>
  <c r="O3" i="46"/>
  <c r="N7" i="46"/>
  <c r="N6" i="46"/>
  <c r="N5" i="46"/>
  <c r="N4" i="46"/>
  <c r="N3" i="46"/>
  <c r="AF35" i="42"/>
  <c r="AF35" i="41"/>
  <c r="W22" i="41"/>
  <c r="AF35" i="43"/>
  <c r="P25" i="43"/>
  <c r="AD23" i="42"/>
  <c r="P25" i="42"/>
  <c r="AC23" i="40"/>
  <c r="AD23" i="40"/>
  <c r="O35" i="42"/>
  <c r="N35" i="42"/>
  <c r="M35" i="42"/>
  <c r="L35" i="42"/>
  <c r="K35" i="42"/>
  <c r="J35" i="42"/>
  <c r="I35" i="42"/>
  <c r="H35" i="42"/>
  <c r="G35" i="42"/>
  <c r="F35" i="42"/>
  <c r="E35" i="42"/>
  <c r="D34" i="42"/>
  <c r="E34" i="42"/>
  <c r="F34" i="42"/>
  <c r="G34" i="42"/>
  <c r="H34" i="42"/>
  <c r="I34" i="42"/>
  <c r="J34" i="42"/>
  <c r="K34" i="42"/>
  <c r="L34" i="42"/>
  <c r="M34" i="42"/>
  <c r="N34" i="42"/>
  <c r="O34" i="42"/>
  <c r="B34" i="42"/>
  <c r="O66" i="42"/>
  <c r="N66" i="42"/>
  <c r="M66" i="42"/>
  <c r="L66" i="42"/>
  <c r="K66" i="42"/>
  <c r="J66" i="42"/>
  <c r="I66" i="42"/>
  <c r="H66" i="42"/>
  <c r="H67" i="42"/>
  <c r="G66" i="42"/>
  <c r="F66" i="42"/>
  <c r="E66" i="42"/>
  <c r="D66" i="42"/>
  <c r="D67" i="42"/>
  <c r="M67" i="42"/>
  <c r="L67" i="42"/>
  <c r="I67" i="42"/>
  <c r="O67" i="42"/>
  <c r="N67" i="42"/>
  <c r="K67" i="42"/>
  <c r="J67" i="42"/>
  <c r="G67" i="42"/>
  <c r="F67" i="42"/>
  <c r="E67" i="42"/>
  <c r="O64" i="42"/>
  <c r="N64" i="42"/>
  <c r="M64" i="42"/>
  <c r="L64" i="42"/>
  <c r="K64" i="42"/>
  <c r="J64" i="42"/>
  <c r="I64" i="42"/>
  <c r="H64" i="42"/>
  <c r="G64" i="42"/>
  <c r="F64" i="42"/>
  <c r="E64" i="42"/>
  <c r="P66" i="42"/>
  <c r="P67" i="42"/>
  <c r="AA40" i="45"/>
  <c r="AA39" i="45"/>
  <c r="D66" i="45"/>
  <c r="Y24" i="45"/>
  <c r="Y23" i="45"/>
  <c r="Y20" i="45"/>
  <c r="Y17" i="45"/>
  <c r="Y13" i="45"/>
  <c r="Y14" i="45"/>
  <c r="Y12" i="45"/>
  <c r="Y15" i="45"/>
  <c r="Y16" i="45"/>
  <c r="Y18" i="45"/>
  <c r="Y19" i="45"/>
  <c r="Y21" i="45"/>
  <c r="Y22" i="45"/>
  <c r="Y25" i="45"/>
  <c r="Y26" i="45"/>
  <c r="Y27" i="45"/>
  <c r="Y28" i="45"/>
  <c r="Y29" i="45"/>
  <c r="Y30" i="45"/>
  <c r="Y31" i="45"/>
  <c r="W13" i="45"/>
  <c r="W14" i="45"/>
  <c r="W15" i="45"/>
  <c r="W16" i="45"/>
  <c r="W17" i="45"/>
  <c r="W18" i="45"/>
  <c r="W19" i="45"/>
  <c r="W20" i="45"/>
  <c r="W21" i="45"/>
  <c r="W22" i="45"/>
  <c r="W23" i="45"/>
  <c r="W24" i="45"/>
  <c r="W25" i="45"/>
  <c r="W26" i="45"/>
  <c r="W27" i="45"/>
  <c r="W28" i="45"/>
  <c r="W29" i="45"/>
  <c r="W30" i="45"/>
  <c r="W31" i="45"/>
  <c r="W12" i="45"/>
  <c r="U13" i="45"/>
  <c r="U14" i="45"/>
  <c r="U15" i="45"/>
  <c r="U16" i="45"/>
  <c r="U17" i="45"/>
  <c r="U18" i="45"/>
  <c r="U19" i="45"/>
  <c r="U20" i="45"/>
  <c r="U21" i="45"/>
  <c r="U22" i="45"/>
  <c r="U23" i="45"/>
  <c r="U24" i="45"/>
  <c r="U25" i="45"/>
  <c r="U26" i="45"/>
  <c r="U27" i="45"/>
  <c r="U28" i="45"/>
  <c r="U29" i="45"/>
  <c r="U30" i="45"/>
  <c r="U31" i="45"/>
  <c r="U12" i="45"/>
  <c r="S13" i="45"/>
  <c r="S14" i="45"/>
  <c r="S15" i="45"/>
  <c r="S16" i="45"/>
  <c r="S17" i="45"/>
  <c r="S18" i="45"/>
  <c r="S19" i="45"/>
  <c r="S20" i="45"/>
  <c r="S21" i="45"/>
  <c r="S22" i="45"/>
  <c r="S23" i="45"/>
  <c r="S24" i="45"/>
  <c r="S25" i="45"/>
  <c r="S26" i="45"/>
  <c r="S27" i="45"/>
  <c r="S28" i="45"/>
  <c r="S29" i="45"/>
  <c r="S30" i="45"/>
  <c r="S31" i="45"/>
  <c r="S12" i="45"/>
  <c r="Q13" i="45"/>
  <c r="Q14" i="45"/>
  <c r="Q15" i="45"/>
  <c r="Q16" i="45"/>
  <c r="Q17" i="45"/>
  <c r="Q18" i="45"/>
  <c r="Q19" i="45"/>
  <c r="Q20" i="45"/>
  <c r="Q21" i="45"/>
  <c r="Q22" i="45"/>
  <c r="Q23" i="45"/>
  <c r="Q24" i="45"/>
  <c r="Q25" i="45"/>
  <c r="Q26" i="45"/>
  <c r="Q27" i="45"/>
  <c r="Q28" i="45"/>
  <c r="Q29" i="45"/>
  <c r="Q30" i="45"/>
  <c r="Q31" i="45"/>
  <c r="Q12" i="45"/>
  <c r="O13" i="45"/>
  <c r="O14" i="45"/>
  <c r="O15" i="45"/>
  <c r="O16" i="45"/>
  <c r="O17" i="45"/>
  <c r="O18" i="45"/>
  <c r="O19" i="45"/>
  <c r="O20" i="45"/>
  <c r="O21" i="45"/>
  <c r="O22" i="45"/>
  <c r="O23" i="45"/>
  <c r="O24" i="45"/>
  <c r="O25" i="45"/>
  <c r="O26" i="45"/>
  <c r="O27" i="45"/>
  <c r="O28" i="45"/>
  <c r="O29" i="45"/>
  <c r="O30" i="45"/>
  <c r="O31" i="45"/>
  <c r="O12" i="45"/>
  <c r="M13" i="45"/>
  <c r="M14" i="45"/>
  <c r="M15" i="45"/>
  <c r="M16" i="45"/>
  <c r="M17" i="45"/>
  <c r="M18" i="45"/>
  <c r="M19" i="45"/>
  <c r="M20" i="45"/>
  <c r="M21" i="45"/>
  <c r="M22" i="45"/>
  <c r="M23" i="45"/>
  <c r="M24" i="45"/>
  <c r="M25" i="45"/>
  <c r="M26" i="45"/>
  <c r="M27" i="45"/>
  <c r="M28" i="45"/>
  <c r="M29" i="45"/>
  <c r="M30" i="45"/>
  <c r="M31" i="45"/>
  <c r="M12" i="45"/>
  <c r="K13" i="45"/>
  <c r="K14" i="45"/>
  <c r="K15" i="45"/>
  <c r="K16" i="45"/>
  <c r="K17" i="45"/>
  <c r="K18" i="45"/>
  <c r="K19" i="45"/>
  <c r="K20" i="45"/>
  <c r="K21" i="45"/>
  <c r="K22" i="45"/>
  <c r="K23" i="45"/>
  <c r="K24" i="45"/>
  <c r="K25" i="45"/>
  <c r="K26" i="45"/>
  <c r="K27" i="45"/>
  <c r="K28" i="45"/>
  <c r="K29" i="45"/>
  <c r="K30" i="45"/>
  <c r="K31" i="45"/>
  <c r="K12" i="45"/>
  <c r="I13" i="45"/>
  <c r="I14" i="45"/>
  <c r="I15" i="45"/>
  <c r="I16" i="45"/>
  <c r="I17" i="45"/>
  <c r="I18" i="45"/>
  <c r="I19" i="45"/>
  <c r="I20" i="45"/>
  <c r="I21" i="45"/>
  <c r="I22" i="45"/>
  <c r="I23" i="45"/>
  <c r="I24" i="45"/>
  <c r="I25" i="45"/>
  <c r="I26" i="45"/>
  <c r="I27" i="45"/>
  <c r="I28" i="45"/>
  <c r="I29" i="45"/>
  <c r="I30" i="45"/>
  <c r="I31" i="45"/>
  <c r="I12" i="45"/>
  <c r="G13" i="45"/>
  <c r="G14" i="45"/>
  <c r="G15" i="45"/>
  <c r="G16" i="45"/>
  <c r="G17" i="45"/>
  <c r="G18" i="45"/>
  <c r="G19" i="45"/>
  <c r="G20" i="45"/>
  <c r="G21" i="45"/>
  <c r="G22" i="45"/>
  <c r="G23" i="45"/>
  <c r="G24" i="45"/>
  <c r="G25" i="45"/>
  <c r="G26" i="45"/>
  <c r="G27" i="45"/>
  <c r="G28" i="45"/>
  <c r="G29" i="45"/>
  <c r="G30" i="45"/>
  <c r="G31" i="45"/>
  <c r="G12" i="45"/>
  <c r="E14" i="45"/>
  <c r="E15" i="45"/>
  <c r="E16" i="45"/>
  <c r="E17" i="45"/>
  <c r="E18" i="45"/>
  <c r="E19" i="45"/>
  <c r="E20" i="45"/>
  <c r="E21" i="45"/>
  <c r="E22" i="45"/>
  <c r="E23" i="45"/>
  <c r="E24" i="45"/>
  <c r="E25" i="45"/>
  <c r="E26" i="45"/>
  <c r="E27" i="45"/>
  <c r="E28" i="45"/>
  <c r="E29" i="45"/>
  <c r="E30" i="45"/>
  <c r="E13" i="45"/>
  <c r="E12" i="45"/>
  <c r="F24" i="43"/>
  <c r="BE4" i="48"/>
  <c r="BC4" i="48"/>
  <c r="BG7" i="48"/>
  <c r="BE15" i="48"/>
  <c r="BD15" i="48"/>
  <c r="BC15" i="48"/>
  <c r="BF17" i="48"/>
  <c r="BF15" i="48"/>
  <c r="AB24" i="40"/>
  <c r="AB24" i="42"/>
  <c r="AK83" i="47"/>
  <c r="AL83" i="47"/>
  <c r="AM83" i="47"/>
  <c r="AN83" i="47"/>
  <c r="AO83" i="47"/>
  <c r="AP83" i="47"/>
  <c r="AQ83" i="47"/>
  <c r="AR83" i="47"/>
  <c r="AS83" i="47"/>
  <c r="O23" i="41"/>
  <c r="O22" i="41"/>
  <c r="W22" i="43"/>
  <c r="U22" i="43"/>
  <c r="T22" i="42"/>
  <c r="T22" i="43"/>
  <c r="AA75" i="47"/>
  <c r="U22" i="42"/>
  <c r="AA67" i="47"/>
  <c r="V22" i="42"/>
  <c r="V22" i="43"/>
  <c r="AA65" i="47"/>
  <c r="AA61" i="47"/>
  <c r="AA59" i="47"/>
  <c r="AA57" i="47"/>
  <c r="AB24" i="43"/>
  <c r="O25" i="43"/>
  <c r="O23" i="43"/>
  <c r="O22" i="43"/>
  <c r="F7" i="46"/>
  <c r="AU15" i="36"/>
  <c r="AT23" i="36"/>
  <c r="AU23" i="36"/>
  <c r="AT22" i="36"/>
  <c r="AU22" i="36"/>
  <c r="AT21" i="36"/>
  <c r="AU21" i="36"/>
  <c r="AT20" i="36"/>
  <c r="AU20" i="36"/>
  <c r="AT19" i="36"/>
  <c r="AU19" i="36"/>
  <c r="AT18" i="36"/>
  <c r="AU18" i="36"/>
  <c r="AT17" i="36"/>
  <c r="AU17" i="36"/>
  <c r="AT16" i="36"/>
  <c r="AU16" i="36"/>
  <c r="AC22" i="43"/>
  <c r="B59" i="40"/>
  <c r="A59" i="40"/>
  <c r="B57" i="40"/>
  <c r="A57" i="40"/>
  <c r="B55" i="40"/>
  <c r="A55" i="40"/>
  <c r="B53" i="40"/>
  <c r="A53" i="40"/>
  <c r="B61" i="42"/>
  <c r="A61" i="42"/>
  <c r="A59" i="42"/>
  <c r="A57" i="42"/>
  <c r="B53" i="42"/>
  <c r="A53" i="42"/>
  <c r="B59" i="42"/>
  <c r="B57" i="42"/>
  <c r="B55" i="42"/>
  <c r="P45" i="40"/>
  <c r="N44" i="40"/>
  <c r="M44" i="40"/>
  <c r="L44" i="40"/>
  <c r="K44" i="40"/>
  <c r="J44" i="40"/>
  <c r="I44" i="40"/>
  <c r="H44" i="40"/>
  <c r="G44" i="40"/>
  <c r="F44" i="40"/>
  <c r="E44" i="40"/>
  <c r="P43" i="40"/>
  <c r="L42" i="40"/>
  <c r="K42" i="40"/>
  <c r="J42" i="40"/>
  <c r="I42" i="40"/>
  <c r="H42" i="40"/>
  <c r="G42" i="40"/>
  <c r="F42" i="40"/>
  <c r="P41" i="40"/>
  <c r="G40" i="40"/>
  <c r="F40" i="40"/>
  <c r="E40" i="40"/>
  <c r="P39" i="40"/>
  <c r="G38" i="40"/>
  <c r="F38" i="40"/>
  <c r="E38" i="40"/>
  <c r="K57" i="40"/>
  <c r="F57" i="40"/>
  <c r="G57" i="40"/>
  <c r="L57" i="40"/>
  <c r="P38" i="40"/>
  <c r="P34" i="42"/>
  <c r="P40" i="40"/>
  <c r="P44" i="40"/>
  <c r="I59" i="40"/>
  <c r="P42" i="40"/>
  <c r="K59" i="40"/>
  <c r="J56" i="40"/>
  <c r="M55" i="40"/>
  <c r="I56" i="40"/>
  <c r="L55" i="40"/>
  <c r="K56" i="40"/>
  <c r="H56" i="40"/>
  <c r="K55" i="40"/>
  <c r="N56" i="40"/>
  <c r="I55" i="40"/>
  <c r="M56" i="40"/>
  <c r="H55" i="40"/>
  <c r="O55" i="40"/>
  <c r="N55" i="40"/>
  <c r="O56" i="40"/>
  <c r="G56" i="40"/>
  <c r="J55" i="40"/>
  <c r="F56" i="40"/>
  <c r="E56" i="40"/>
  <c r="L56" i="40"/>
  <c r="F55" i="40"/>
  <c r="N60" i="40"/>
  <c r="F60" i="40"/>
  <c r="M60" i="40"/>
  <c r="E60" i="40"/>
  <c r="J59" i="40"/>
  <c r="L60" i="40"/>
  <c r="O59" i="40"/>
  <c r="O60" i="40"/>
  <c r="K60" i="40"/>
  <c r="J60" i="40"/>
  <c r="I60" i="40"/>
  <c r="H60" i="40"/>
  <c r="G60" i="40"/>
  <c r="H59" i="40"/>
  <c r="H54" i="40"/>
  <c r="K53" i="40"/>
  <c r="D53" i="40"/>
  <c r="O54" i="40"/>
  <c r="O61" i="40"/>
  <c r="G54" i="40"/>
  <c r="J53" i="40"/>
  <c r="L54" i="40"/>
  <c r="K54" i="40"/>
  <c r="D54" i="40"/>
  <c r="N54" i="40"/>
  <c r="F54" i="40"/>
  <c r="I53" i="40"/>
  <c r="O53" i="40"/>
  <c r="F53" i="40"/>
  <c r="J54" i="40"/>
  <c r="E53" i="40"/>
  <c r="I54" i="40"/>
  <c r="M54" i="40"/>
  <c r="E54" i="40"/>
  <c r="H53" i="40"/>
  <c r="G53" i="40"/>
  <c r="N53" i="40"/>
  <c r="M53" i="40"/>
  <c r="L53" i="40"/>
  <c r="G59" i="40"/>
  <c r="E59" i="40"/>
  <c r="N59" i="40"/>
  <c r="L59" i="40"/>
  <c r="M59" i="40"/>
  <c r="E55" i="40"/>
  <c r="L58" i="40"/>
  <c r="O57" i="40"/>
  <c r="N58" i="40"/>
  <c r="M58" i="40"/>
  <c r="K58" i="40"/>
  <c r="K61" i="40"/>
  <c r="N57" i="40"/>
  <c r="J58" i="40"/>
  <c r="J61" i="40"/>
  <c r="M57" i="40"/>
  <c r="E57" i="40"/>
  <c r="H58" i="40"/>
  <c r="O58" i="40"/>
  <c r="G58" i="40"/>
  <c r="I57" i="40"/>
  <c r="E58" i="40"/>
  <c r="I58" i="40"/>
  <c r="I61" i="40"/>
  <c r="J57" i="40"/>
  <c r="F58" i="40"/>
  <c r="H57" i="40"/>
  <c r="F59" i="40"/>
  <c r="G55" i="40"/>
  <c r="D58" i="40"/>
  <c r="D57" i="40"/>
  <c r="D60" i="40"/>
  <c r="D59" i="40"/>
  <c r="D56" i="40"/>
  <c r="D55" i="40"/>
  <c r="E61" i="40"/>
  <c r="G61" i="40"/>
  <c r="M61" i="40"/>
  <c r="P55" i="40"/>
  <c r="D61" i="40"/>
  <c r="N61" i="40"/>
  <c r="H61" i="40"/>
  <c r="L61" i="40"/>
  <c r="F61" i="40"/>
  <c r="P59" i="40"/>
  <c r="P53" i="40"/>
  <c r="P57" i="40"/>
  <c r="P60" i="40"/>
  <c r="P58" i="40"/>
  <c r="P56" i="40"/>
  <c r="P54" i="40"/>
  <c r="P61" i="40"/>
  <c r="AA81" i="47"/>
  <c r="AT68" i="47"/>
  <c r="AT67" i="47"/>
  <c r="AS81" i="47"/>
  <c r="AQ81" i="47"/>
  <c r="AO81" i="47"/>
  <c r="AN81" i="47"/>
  <c r="AM81" i="47"/>
  <c r="AL81" i="47"/>
  <c r="AK81" i="47"/>
  <c r="AJ81" i="47"/>
  <c r="AI81" i="47"/>
  <c r="AU77" i="47"/>
  <c r="AX77" i="47"/>
  <c r="BB77" i="47"/>
  <c r="AT55" i="47"/>
  <c r="AT81" i="47"/>
  <c r="AR55" i="47"/>
  <c r="AP55" i="47"/>
  <c r="B34" i="40"/>
  <c r="F62" i="40"/>
  <c r="AP81" i="47"/>
  <c r="AR81" i="47"/>
  <c r="K62" i="40"/>
  <c r="G62" i="40"/>
  <c r="E62" i="40"/>
  <c r="N62" i="40"/>
  <c r="J62" i="40"/>
  <c r="M62" i="40"/>
  <c r="L62" i="40"/>
  <c r="I62" i="40"/>
  <c r="O62" i="40"/>
  <c r="H62" i="40"/>
  <c r="D62" i="40"/>
  <c r="P62" i="40"/>
  <c r="P43" i="42"/>
  <c r="P42" i="42"/>
  <c r="A34" i="42"/>
  <c r="K7" i="46"/>
  <c r="J3" i="46"/>
  <c r="M58" i="42"/>
  <c r="E58" i="42"/>
  <c r="H57" i="42"/>
  <c r="L58" i="42"/>
  <c r="O57" i="42"/>
  <c r="G57" i="42"/>
  <c r="I58" i="42"/>
  <c r="O58" i="42"/>
  <c r="K58" i="42"/>
  <c r="N57" i="42"/>
  <c r="F57" i="42"/>
  <c r="H58" i="42"/>
  <c r="K57" i="42"/>
  <c r="D57" i="42"/>
  <c r="G58" i="42"/>
  <c r="N58" i="42"/>
  <c r="F58" i="42"/>
  <c r="J58" i="42"/>
  <c r="M57" i="42"/>
  <c r="E57" i="42"/>
  <c r="L57" i="42"/>
  <c r="D58" i="42"/>
  <c r="J57" i="42"/>
  <c r="I57" i="42"/>
  <c r="AR76" i="47"/>
  <c r="AR75" i="47"/>
  <c r="AP76" i="47"/>
  <c r="AP75" i="47"/>
  <c r="AN76" i="47"/>
  <c r="AN75" i="47"/>
  <c r="AS68" i="47"/>
  <c r="AS67" i="47"/>
  <c r="AR68" i="47"/>
  <c r="AR67" i="47"/>
  <c r="AQ68" i="47"/>
  <c r="AQ67" i="47"/>
  <c r="AP68" i="47"/>
  <c r="AP67" i="47"/>
  <c r="AO68" i="47"/>
  <c r="AO67" i="47"/>
  <c r="AN68" i="47"/>
  <c r="AN67" i="47"/>
  <c r="AM68" i="47"/>
  <c r="AM67" i="47"/>
  <c r="AB68" i="47"/>
  <c r="AB67" i="47"/>
  <c r="AT62" i="47"/>
  <c r="AS62" i="47"/>
  <c r="AR62" i="47"/>
  <c r="AQ62" i="47"/>
  <c r="AP62" i="47"/>
  <c r="AO62" i="47"/>
  <c r="AN62" i="47"/>
  <c r="AM62" i="47"/>
  <c r="AL62" i="47"/>
  <c r="AK62" i="47"/>
  <c r="AK82" i="47"/>
  <c r="AJ62" i="47"/>
  <c r="AI62" i="47"/>
  <c r="AT61" i="47"/>
  <c r="AS61" i="47"/>
  <c r="AR61" i="47"/>
  <c r="AQ61" i="47"/>
  <c r="AP61" i="47"/>
  <c r="AO61" i="47"/>
  <c r="AN61" i="47"/>
  <c r="AM61" i="47"/>
  <c r="AL61" i="47"/>
  <c r="AK61" i="47"/>
  <c r="AJ61" i="47"/>
  <c r="AI61" i="47"/>
  <c r="AB62" i="47"/>
  <c r="AB61" i="47"/>
  <c r="AT60" i="47"/>
  <c r="AT59" i="47"/>
  <c r="AN58" i="47"/>
  <c r="AN57" i="47"/>
  <c r="AT58" i="47"/>
  <c r="AT57" i="47"/>
  <c r="AS58" i="47"/>
  <c r="AS57" i="47"/>
  <c r="AR58" i="47"/>
  <c r="AR57" i="47"/>
  <c r="AQ58" i="47"/>
  <c r="AQ57" i="47"/>
  <c r="AP58" i="47"/>
  <c r="AP57" i="47"/>
  <c r="AO58" i="47"/>
  <c r="AO57" i="47"/>
  <c r="AB60" i="47"/>
  <c r="AB59" i="47"/>
  <c r="AA60" i="47"/>
  <c r="AB58" i="47"/>
  <c r="AA58" i="47"/>
  <c r="AB57" i="47"/>
  <c r="AT66" i="47"/>
  <c r="AT65" i="47"/>
  <c r="AS66" i="47"/>
  <c r="AS65" i="47"/>
  <c r="AR66" i="47"/>
  <c r="AR65" i="47"/>
  <c r="AQ66" i="47"/>
  <c r="AQ65" i="47"/>
  <c r="AP66" i="47"/>
  <c r="AP65" i="47"/>
  <c r="AO66" i="47"/>
  <c r="AO65" i="47"/>
  <c r="AN66" i="47"/>
  <c r="AN65" i="47"/>
  <c r="AM66" i="47"/>
  <c r="AM65" i="47"/>
  <c r="AL66" i="47"/>
  <c r="AL65" i="47"/>
  <c r="AK66" i="47"/>
  <c r="AK65" i="47"/>
  <c r="AJ66" i="47"/>
  <c r="AJ65" i="47"/>
  <c r="AI66" i="47"/>
  <c r="AI65" i="47"/>
  <c r="AB66" i="47"/>
  <c r="AB65" i="47"/>
  <c r="AA76" i="47"/>
  <c r="AA68" i="47"/>
  <c r="AA66" i="47"/>
  <c r="AA62" i="47"/>
  <c r="AT76" i="47"/>
  <c r="AJ76" i="47"/>
  <c r="AI76" i="47"/>
  <c r="AU60" i="47"/>
  <c r="AZ60" i="47"/>
  <c r="AU68" i="47"/>
  <c r="AZ68" i="47"/>
  <c r="AO82" i="47"/>
  <c r="AQ82" i="47"/>
  <c r="AS82" i="47"/>
  <c r="AN82" i="47"/>
  <c r="AL80" i="47"/>
  <c r="AL78" i="47"/>
  <c r="AL82" i="47"/>
  <c r="AM78" i="47"/>
  <c r="AM80" i="47"/>
  <c r="AM82" i="47"/>
  <c r="AU57" i="47"/>
  <c r="AN78" i="47"/>
  <c r="AN80" i="47"/>
  <c r="AK80" i="47"/>
  <c r="AK78" i="47"/>
  <c r="AA78" i="47"/>
  <c r="AP82" i="47"/>
  <c r="AR82" i="47"/>
  <c r="AU62" i="47"/>
  <c r="AZ62" i="47"/>
  <c r="AU55" i="47"/>
  <c r="AU81" i="47"/>
  <c r="AW81" i="47"/>
  <c r="AU76" i="47"/>
  <c r="AX76" i="47"/>
  <c r="AU58" i="47"/>
  <c r="AZ58" i="47"/>
  <c r="AU66" i="47"/>
  <c r="AZ66" i="47"/>
  <c r="AV60" i="47"/>
  <c r="AX60" i="47"/>
  <c r="BB60" i="47"/>
  <c r="AT69" i="47"/>
  <c r="AS69" i="47"/>
  <c r="AS78" i="47"/>
  <c r="AR69" i="47"/>
  <c r="AR78" i="47"/>
  <c r="AQ69" i="47"/>
  <c r="AQ80" i="47"/>
  <c r="AP69" i="47"/>
  <c r="AP80" i="47"/>
  <c r="AO69" i="47"/>
  <c r="AO78" i="47"/>
  <c r="AU61" i="47"/>
  <c r="AZ61" i="47"/>
  <c r="E24" i="43"/>
  <c r="D24" i="42"/>
  <c r="B34" i="41"/>
  <c r="AT13" i="36"/>
  <c r="AU13" i="36"/>
  <c r="D24" i="43"/>
  <c r="O24" i="43"/>
  <c r="BG11" i="48"/>
  <c r="O24" i="42"/>
  <c r="AX68" i="47"/>
  <c r="BB68" i="47"/>
  <c r="AV68" i="47"/>
  <c r="AV62" i="47"/>
  <c r="AS80" i="47"/>
  <c r="AR80" i="47"/>
  <c r="AO80" i="47"/>
  <c r="AP78" i="47"/>
  <c r="AQ78" i="47"/>
  <c r="AX62" i="47"/>
  <c r="BB62" i="47"/>
  <c r="AX58" i="47"/>
  <c r="BB58" i="47"/>
  <c r="AV66" i="47"/>
  <c r="AV76" i="47"/>
  <c r="AZ76" i="47"/>
  <c r="BB76" i="47"/>
  <c r="AV58" i="47"/>
  <c r="AX66" i="47"/>
  <c r="BB66" i="47"/>
  <c r="AX61" i="47"/>
  <c r="BB61" i="47"/>
  <c r="AU53" i="47"/>
  <c r="AT6" i="47"/>
  <c r="AV61" i="47"/>
  <c r="AT3" i="47"/>
  <c r="AT4" i="47"/>
  <c r="AT5" i="47"/>
  <c r="AT8" i="47"/>
  <c r="AT9" i="47"/>
  <c r="AT10" i="47"/>
  <c r="AT11" i="47"/>
  <c r="AT12" i="47"/>
  <c r="AT13" i="47"/>
  <c r="AT14" i="47"/>
  <c r="AT15" i="47"/>
  <c r="AT16" i="47"/>
  <c r="AT17" i="47"/>
  <c r="AT18" i="47"/>
  <c r="AT19" i="47"/>
  <c r="AT20" i="47"/>
  <c r="AT21" i="47"/>
  <c r="AT22" i="47"/>
  <c r="AT23" i="47"/>
  <c r="AT24" i="47"/>
  <c r="AT25" i="47"/>
  <c r="AT26" i="47"/>
  <c r="AT27" i="47"/>
  <c r="AT28" i="47"/>
  <c r="AT29" i="47"/>
  <c r="AT30" i="47"/>
  <c r="AT31" i="47"/>
  <c r="AT32" i="47"/>
  <c r="AT33" i="47"/>
  <c r="AT34" i="47"/>
  <c r="AT35" i="47"/>
  <c r="AT36" i="47"/>
  <c r="AT37" i="47"/>
  <c r="AT38" i="47"/>
  <c r="AT39" i="47"/>
  <c r="AT40" i="47"/>
  <c r="AT41" i="47"/>
  <c r="AT42" i="47"/>
  <c r="AT43" i="47"/>
  <c r="AT44" i="47"/>
  <c r="AT45" i="47"/>
  <c r="AT46" i="47"/>
  <c r="AT47" i="47"/>
  <c r="AT48" i="47"/>
  <c r="AT49" i="47"/>
  <c r="AT50" i="47"/>
  <c r="AT51" i="47"/>
  <c r="AT52" i="47"/>
  <c r="AU54" i="47"/>
  <c r="AU59" i="47"/>
  <c r="AU71" i="47"/>
  <c r="AT73" i="47"/>
  <c r="AT74" i="47"/>
  <c r="AT75" i="47"/>
  <c r="AT2" i="47"/>
  <c r="AU56" i="47"/>
  <c r="AU63" i="47"/>
  <c r="AU64" i="47"/>
  <c r="AU67" i="47"/>
  <c r="AU69" i="47"/>
  <c r="AU70" i="47"/>
  <c r="AJ3" i="47"/>
  <c r="AJ4" i="47"/>
  <c r="AJ5" i="47"/>
  <c r="AJ6" i="47"/>
  <c r="AJ7" i="47"/>
  <c r="AU7" i="47"/>
  <c r="AJ8" i="47"/>
  <c r="AJ9" i="47"/>
  <c r="AJ10" i="47"/>
  <c r="AJ11" i="47"/>
  <c r="AJ12" i="47"/>
  <c r="AJ13" i="47"/>
  <c r="AJ14" i="47"/>
  <c r="AJ15" i="47"/>
  <c r="AJ16" i="47"/>
  <c r="AJ17" i="47"/>
  <c r="AJ18" i="47"/>
  <c r="AJ19" i="47"/>
  <c r="AJ20" i="47"/>
  <c r="AJ21" i="47"/>
  <c r="AJ22" i="47"/>
  <c r="AJ23" i="47"/>
  <c r="AJ24" i="47"/>
  <c r="AJ25" i="47"/>
  <c r="AJ26" i="47"/>
  <c r="AJ27" i="47"/>
  <c r="AJ28" i="47"/>
  <c r="AJ29" i="47"/>
  <c r="AJ30" i="47"/>
  <c r="AJ31" i="47"/>
  <c r="AJ32" i="47"/>
  <c r="AJ33" i="47"/>
  <c r="AJ34" i="47"/>
  <c r="AJ35" i="47"/>
  <c r="AJ36" i="47"/>
  <c r="AJ37" i="47"/>
  <c r="AJ38" i="47"/>
  <c r="AJ39" i="47"/>
  <c r="AJ40" i="47"/>
  <c r="AJ41" i="47"/>
  <c r="AJ42" i="47"/>
  <c r="AJ43" i="47"/>
  <c r="AJ44" i="47"/>
  <c r="AJ45" i="47"/>
  <c r="AJ46" i="47"/>
  <c r="AJ47" i="47"/>
  <c r="AJ48" i="47"/>
  <c r="AJ49" i="47"/>
  <c r="AJ50" i="47"/>
  <c r="AJ51" i="47"/>
  <c r="AJ52" i="47"/>
  <c r="AJ73" i="47"/>
  <c r="AJ74" i="47"/>
  <c r="AJ75" i="47"/>
  <c r="AJ2" i="47"/>
  <c r="AI3" i="47"/>
  <c r="AI4" i="47"/>
  <c r="AI5" i="47"/>
  <c r="AI8" i="47"/>
  <c r="AI9" i="47"/>
  <c r="AI10" i="47"/>
  <c r="AI11" i="47"/>
  <c r="AI12" i="47"/>
  <c r="AI13" i="47"/>
  <c r="AI14" i="47"/>
  <c r="AI15" i="47"/>
  <c r="AI16" i="47"/>
  <c r="AI17" i="47"/>
  <c r="AI18" i="47"/>
  <c r="AI19" i="47"/>
  <c r="AI20" i="47"/>
  <c r="AI21" i="47"/>
  <c r="AI22" i="47"/>
  <c r="AI23" i="47"/>
  <c r="AI24" i="47"/>
  <c r="AI25" i="47"/>
  <c r="AI26" i="47"/>
  <c r="AI27" i="47"/>
  <c r="AI28" i="47"/>
  <c r="AI29" i="47"/>
  <c r="AI30" i="47"/>
  <c r="AI31" i="47"/>
  <c r="AI32" i="47"/>
  <c r="AI33" i="47"/>
  <c r="AI34" i="47"/>
  <c r="AI35" i="47"/>
  <c r="AI36" i="47"/>
  <c r="AI37" i="47"/>
  <c r="AI38" i="47"/>
  <c r="AI39" i="47"/>
  <c r="AI40" i="47"/>
  <c r="AI41" i="47"/>
  <c r="AI42" i="47"/>
  <c r="AI43" i="47"/>
  <c r="AI44" i="47"/>
  <c r="AI45" i="47"/>
  <c r="AI46" i="47"/>
  <c r="AI47" i="47"/>
  <c r="AI48" i="47"/>
  <c r="AI49" i="47"/>
  <c r="AI50" i="47"/>
  <c r="AI51" i="47"/>
  <c r="AI52" i="47"/>
  <c r="AU72" i="47"/>
  <c r="AI73" i="47"/>
  <c r="AI74" i="47"/>
  <c r="AI75" i="47"/>
  <c r="AI2" i="47"/>
  <c r="P49" i="43"/>
  <c r="P47" i="43"/>
  <c r="P45" i="43"/>
  <c r="P39" i="43"/>
  <c r="P41" i="43"/>
  <c r="A55" i="42"/>
  <c r="B34" i="43"/>
  <c r="J6" i="46"/>
  <c r="J5" i="46"/>
  <c r="J4" i="46"/>
  <c r="AB24" i="41"/>
  <c r="AA24" i="41"/>
  <c r="Y24" i="41"/>
  <c r="AC24" i="41"/>
  <c r="A30" i="40"/>
  <c r="A30" i="42"/>
  <c r="A30" i="41"/>
  <c r="A34" i="41"/>
  <c r="Q72" i="45"/>
  <c r="CA60" i="45"/>
  <c r="BZ60" i="45"/>
  <c r="BY60" i="45"/>
  <c r="BX60" i="45"/>
  <c r="BW60" i="45"/>
  <c r="BV60" i="45"/>
  <c r="BU60" i="45"/>
  <c r="BT60" i="45"/>
  <c r="BS60" i="45"/>
  <c r="BR60" i="45"/>
  <c r="BQ60" i="45"/>
  <c r="BP60" i="45"/>
  <c r="BM60" i="45"/>
  <c r="BL60" i="45"/>
  <c r="BK60" i="45"/>
  <c r="BJ60" i="45"/>
  <c r="BI60" i="45"/>
  <c r="BH60" i="45"/>
  <c r="BG60" i="45"/>
  <c r="BF60" i="45"/>
  <c r="BE60" i="45"/>
  <c r="BD60" i="45"/>
  <c r="BC60" i="45"/>
  <c r="BB60" i="45"/>
  <c r="BA60" i="45"/>
  <c r="AZ60" i="45"/>
  <c r="AY60" i="45"/>
  <c r="AX60" i="45"/>
  <c r="AW60" i="45"/>
  <c r="AV60" i="45"/>
  <c r="AU60" i="45"/>
  <c r="AT60" i="45"/>
  <c r="AS60" i="45"/>
  <c r="AR60" i="45"/>
  <c r="AQ60" i="45"/>
  <c r="AP60" i="45"/>
  <c r="AM60" i="45"/>
  <c r="AL60" i="45"/>
  <c r="AK60" i="45"/>
  <c r="AJ60" i="45"/>
  <c r="AI60" i="45"/>
  <c r="AH60" i="45"/>
  <c r="AG60" i="45"/>
  <c r="AF60" i="45"/>
  <c r="AE60" i="45"/>
  <c r="AD60" i="45"/>
  <c r="AC60" i="45"/>
  <c r="AB60" i="45"/>
  <c r="Y60" i="45"/>
  <c r="X60" i="45"/>
  <c r="W60" i="45"/>
  <c r="V60" i="45"/>
  <c r="U60" i="45"/>
  <c r="T60" i="45"/>
  <c r="S60" i="45"/>
  <c r="R60" i="45"/>
  <c r="Q60" i="45"/>
  <c r="P60" i="45"/>
  <c r="O60" i="45"/>
  <c r="N60" i="45"/>
  <c r="M60" i="45"/>
  <c r="L60" i="45"/>
  <c r="K60" i="45"/>
  <c r="J60" i="45"/>
  <c r="I60" i="45"/>
  <c r="H60" i="45"/>
  <c r="G60" i="45"/>
  <c r="F60" i="45"/>
  <c r="E60" i="45"/>
  <c r="D60" i="45"/>
  <c r="C60" i="45"/>
  <c r="B60" i="45"/>
  <c r="BO59" i="45"/>
  <c r="BN59" i="45"/>
  <c r="AA59" i="45"/>
  <c r="Z59" i="45"/>
  <c r="BO58" i="45"/>
  <c r="BN58" i="45"/>
  <c r="AA58" i="45"/>
  <c r="Z58" i="45"/>
  <c r="BO57" i="45"/>
  <c r="BN57" i="45"/>
  <c r="AA57" i="45"/>
  <c r="Z57" i="45"/>
  <c r="BO56" i="45"/>
  <c r="BN56" i="45"/>
  <c r="AA56" i="45"/>
  <c r="Z56" i="45"/>
  <c r="BO55" i="45"/>
  <c r="BN55" i="45"/>
  <c r="AA55" i="45"/>
  <c r="Z55" i="45"/>
  <c r="BO54" i="45"/>
  <c r="BN54" i="45"/>
  <c r="AA54" i="45"/>
  <c r="Z54" i="45"/>
  <c r="BO53" i="45"/>
  <c r="BN53" i="45"/>
  <c r="AA53" i="45"/>
  <c r="Z53" i="45"/>
  <c r="BO52" i="45"/>
  <c r="BN52" i="45"/>
  <c r="AA52" i="45"/>
  <c r="Z52" i="45"/>
  <c r="BO51" i="45"/>
  <c r="BN51" i="45"/>
  <c r="AA51" i="45"/>
  <c r="Z51" i="45"/>
  <c r="BO50" i="45"/>
  <c r="BN50" i="45"/>
  <c r="AA50" i="45"/>
  <c r="Z50" i="45"/>
  <c r="BO49" i="45"/>
  <c r="BN49" i="45"/>
  <c r="AA49" i="45"/>
  <c r="Z49" i="45"/>
  <c r="BO48" i="45"/>
  <c r="BN48" i="45"/>
  <c r="AA48" i="45"/>
  <c r="Z48" i="45"/>
  <c r="BO47" i="45"/>
  <c r="BN47" i="45"/>
  <c r="AA47" i="45"/>
  <c r="Z47" i="45"/>
  <c r="BO46" i="45"/>
  <c r="BN46" i="45"/>
  <c r="AA46" i="45"/>
  <c r="Z46" i="45"/>
  <c r="BO45" i="45"/>
  <c r="BN45" i="45"/>
  <c r="AA45" i="45"/>
  <c r="Z45" i="45"/>
  <c r="BO44" i="45"/>
  <c r="BN44" i="45"/>
  <c r="AA44" i="45"/>
  <c r="Z44" i="45"/>
  <c r="BO43" i="45"/>
  <c r="BN43" i="45"/>
  <c r="AA43" i="45"/>
  <c r="Z43" i="45"/>
  <c r="BO42" i="45"/>
  <c r="BN42" i="45"/>
  <c r="AA42" i="45"/>
  <c r="AA60" i="45"/>
  <c r="Z42" i="45"/>
  <c r="BO41" i="45"/>
  <c r="BN41" i="45"/>
  <c r="AA41" i="45"/>
  <c r="Z41" i="45"/>
  <c r="BO40" i="45"/>
  <c r="BN40" i="45"/>
  <c r="Z40" i="45"/>
  <c r="BO39" i="45"/>
  <c r="BN39" i="45"/>
  <c r="Z39" i="45"/>
  <c r="CA32" i="45"/>
  <c r="BZ32" i="45"/>
  <c r="BY32" i="45"/>
  <c r="BX32" i="45"/>
  <c r="BW32" i="45"/>
  <c r="BV32" i="45"/>
  <c r="BU32" i="45"/>
  <c r="BT32" i="45"/>
  <c r="BS32" i="45"/>
  <c r="BR32" i="45"/>
  <c r="BQ32" i="45"/>
  <c r="BP32" i="45"/>
  <c r="BM32" i="45"/>
  <c r="BL32" i="45"/>
  <c r="BK32" i="45"/>
  <c r="BJ32" i="45"/>
  <c r="BI32" i="45"/>
  <c r="BH32" i="45"/>
  <c r="BG32" i="45"/>
  <c r="BF32" i="45"/>
  <c r="BE32" i="45"/>
  <c r="BD32" i="45"/>
  <c r="BC32" i="45"/>
  <c r="BB32" i="45"/>
  <c r="BA32" i="45"/>
  <c r="AZ32" i="45"/>
  <c r="AY32" i="45"/>
  <c r="AX32" i="45"/>
  <c r="AW32" i="45"/>
  <c r="AV32" i="45"/>
  <c r="AU32" i="45"/>
  <c r="AT32" i="45"/>
  <c r="AS32" i="45"/>
  <c r="AR32" i="45"/>
  <c r="AQ32" i="45"/>
  <c r="AP32" i="45"/>
  <c r="AM32" i="45"/>
  <c r="AL32" i="45"/>
  <c r="AK32" i="45"/>
  <c r="AJ32" i="45"/>
  <c r="AI32" i="45"/>
  <c r="AH32" i="45"/>
  <c r="AG32" i="45"/>
  <c r="AF32" i="45"/>
  <c r="AE32" i="45"/>
  <c r="AD32" i="45"/>
  <c r="AC32" i="45"/>
  <c r="AB32" i="45"/>
  <c r="X32" i="45"/>
  <c r="V32" i="45"/>
  <c r="T32" i="45"/>
  <c r="R32" i="45"/>
  <c r="P32" i="45"/>
  <c r="N32" i="45"/>
  <c r="L32" i="45"/>
  <c r="J32" i="45"/>
  <c r="H32" i="45"/>
  <c r="F32" i="45"/>
  <c r="D32" i="45"/>
  <c r="C32" i="45"/>
  <c r="B32" i="45"/>
  <c r="BO31" i="45"/>
  <c r="BN31" i="45"/>
  <c r="Z31" i="45"/>
  <c r="E31" i="45"/>
  <c r="AA31" i="45"/>
  <c r="BO30" i="45"/>
  <c r="BN30" i="45"/>
  <c r="Z30" i="45"/>
  <c r="AA30" i="45"/>
  <c r="BO29" i="45"/>
  <c r="BN29" i="45"/>
  <c r="Z29" i="45"/>
  <c r="AA29" i="45"/>
  <c r="BO28" i="45"/>
  <c r="BN28" i="45"/>
  <c r="Z28" i="45"/>
  <c r="AA28" i="45"/>
  <c r="BO27" i="45"/>
  <c r="BN27" i="45"/>
  <c r="Z27" i="45"/>
  <c r="AA27" i="45"/>
  <c r="BO26" i="45"/>
  <c r="BN26" i="45"/>
  <c r="Z26" i="45"/>
  <c r="AA26" i="45"/>
  <c r="BO25" i="45"/>
  <c r="BN25" i="45"/>
  <c r="Z25" i="45"/>
  <c r="AA25" i="45"/>
  <c r="BO24" i="45"/>
  <c r="BN24" i="45"/>
  <c r="Z24" i="45"/>
  <c r="AA24" i="45"/>
  <c r="BO23" i="45"/>
  <c r="BN23" i="45"/>
  <c r="Z23" i="45"/>
  <c r="AA23" i="45"/>
  <c r="BO22" i="45"/>
  <c r="BN22" i="45"/>
  <c r="Z22" i="45"/>
  <c r="AA22" i="45"/>
  <c r="BO21" i="45"/>
  <c r="BN21" i="45"/>
  <c r="Z21" i="45"/>
  <c r="AA21" i="45"/>
  <c r="BO20" i="45"/>
  <c r="BN20" i="45"/>
  <c r="Z20" i="45"/>
  <c r="AA20" i="45"/>
  <c r="BO19" i="45"/>
  <c r="BN19" i="45"/>
  <c r="Z19" i="45"/>
  <c r="AA19" i="45"/>
  <c r="BO18" i="45"/>
  <c r="BN18" i="45"/>
  <c r="Z18" i="45"/>
  <c r="AA18" i="45"/>
  <c r="BO17" i="45"/>
  <c r="BN17" i="45"/>
  <c r="Z17" i="45"/>
  <c r="AA17" i="45"/>
  <c r="BO16" i="45"/>
  <c r="BN16" i="45"/>
  <c r="Z16" i="45"/>
  <c r="AA16" i="45"/>
  <c r="BO15" i="45"/>
  <c r="BN15" i="45"/>
  <c r="Z15" i="45"/>
  <c r="Y32" i="45"/>
  <c r="Q32" i="45"/>
  <c r="I32" i="45"/>
  <c r="AA15" i="45"/>
  <c r="BO14" i="45"/>
  <c r="BN14" i="45"/>
  <c r="Z14" i="45"/>
  <c r="AA14" i="45"/>
  <c r="BO13" i="45"/>
  <c r="BN13" i="45"/>
  <c r="Z13" i="45"/>
  <c r="U32" i="45"/>
  <c r="M32" i="45"/>
  <c r="E32" i="45"/>
  <c r="BO12" i="45"/>
  <c r="BN12" i="45"/>
  <c r="Z12" i="45"/>
  <c r="W32" i="45"/>
  <c r="S32" i="45"/>
  <c r="O32" i="45"/>
  <c r="K32" i="45"/>
  <c r="G32" i="45"/>
  <c r="AA12" i="45"/>
  <c r="BO11" i="45"/>
  <c r="BN11" i="45"/>
  <c r="AA11" i="45"/>
  <c r="Z11" i="45"/>
  <c r="B51" i="43"/>
  <c r="P48" i="43"/>
  <c r="P46" i="43"/>
  <c r="P44" i="43"/>
  <c r="P43" i="43"/>
  <c r="P42" i="43"/>
  <c r="P40" i="43"/>
  <c r="P38" i="43"/>
  <c r="P35" i="43"/>
  <c r="P34" i="43"/>
  <c r="P30" i="43"/>
  <c r="A30" i="43"/>
  <c r="A34" i="43"/>
  <c r="AC25" i="43"/>
  <c r="AD25" i="43"/>
  <c r="AC24" i="43"/>
  <c r="AG22" i="43"/>
  <c r="AC23" i="43"/>
  <c r="AD23" i="43"/>
  <c r="P23" i="43"/>
  <c r="P45" i="42"/>
  <c r="P44" i="42"/>
  <c r="P47" i="42"/>
  <c r="P46" i="42"/>
  <c r="P41" i="42"/>
  <c r="P40" i="42"/>
  <c r="P39" i="42"/>
  <c r="P38" i="42"/>
  <c r="P30" i="42"/>
  <c r="AC25" i="42"/>
  <c r="AD25" i="42"/>
  <c r="O25" i="42"/>
  <c r="AC24" i="42"/>
  <c r="AC23" i="42"/>
  <c r="O23" i="42"/>
  <c r="P23" i="42"/>
  <c r="AC22" i="42"/>
  <c r="O22" i="42"/>
  <c r="P39" i="41"/>
  <c r="P38" i="41"/>
  <c r="P35" i="41"/>
  <c r="P34" i="41"/>
  <c r="P30" i="41"/>
  <c r="AC25" i="41"/>
  <c r="AD25" i="41"/>
  <c r="O25" i="41"/>
  <c r="P25" i="41"/>
  <c r="O24" i="41"/>
  <c r="AC23" i="41"/>
  <c r="AD23" i="41"/>
  <c r="P23" i="41"/>
  <c r="AC22" i="41"/>
  <c r="P34" i="40"/>
  <c r="O23" i="40"/>
  <c r="P23" i="40"/>
  <c r="AD25" i="40"/>
  <c r="AC24" i="40"/>
  <c r="AC22" i="40"/>
  <c r="O25" i="40"/>
  <c r="P25" i="40"/>
  <c r="O24" i="40"/>
  <c r="O22" i="40"/>
  <c r="P35" i="40"/>
  <c r="P30" i="40"/>
  <c r="P28" i="1"/>
  <c r="P24" i="1"/>
  <c r="P29" i="1"/>
  <c r="AT26" i="36"/>
  <c r="AU26" i="36"/>
  <c r="P32" i="1"/>
  <c r="P34" i="1"/>
  <c r="P35" i="1"/>
  <c r="P36" i="1"/>
  <c r="P37" i="1"/>
  <c r="P38" i="1"/>
  <c r="P39" i="1"/>
  <c r="N4" i="20"/>
  <c r="N3" i="20"/>
  <c r="F8" i="20"/>
  <c r="F7" i="20"/>
  <c r="J7" i="20"/>
  <c r="J6" i="20"/>
  <c r="J5" i="20"/>
  <c r="J4" i="20"/>
  <c r="J3" i="20"/>
  <c r="F6" i="20"/>
  <c r="F5" i="20"/>
  <c r="F4" i="20"/>
  <c r="F3" i="20"/>
  <c r="P33" i="1"/>
  <c r="AI83" i="47"/>
  <c r="BN60" i="45"/>
  <c r="O60" i="42"/>
  <c r="G60" i="42"/>
  <c r="J59" i="42"/>
  <c r="I60" i="42"/>
  <c r="N60" i="42"/>
  <c r="F60" i="42"/>
  <c r="I59" i="42"/>
  <c r="K60" i="42"/>
  <c r="F59" i="42"/>
  <c r="H60" i="42"/>
  <c r="M60" i="42"/>
  <c r="E60" i="42"/>
  <c r="H59" i="42"/>
  <c r="D60" i="42"/>
  <c r="M59" i="42"/>
  <c r="L60" i="42"/>
  <c r="O59" i="42"/>
  <c r="G59" i="42"/>
  <c r="D59" i="42"/>
  <c r="N59" i="42"/>
  <c r="J60" i="42"/>
  <c r="E59" i="42"/>
  <c r="L59" i="42"/>
  <c r="K59" i="42"/>
  <c r="BO60" i="45"/>
  <c r="D54" i="42"/>
  <c r="I54" i="42"/>
  <c r="L53" i="42"/>
  <c r="H54" i="42"/>
  <c r="K53" i="42"/>
  <c r="M54" i="42"/>
  <c r="M63" i="42"/>
  <c r="N53" i="42"/>
  <c r="O54" i="42"/>
  <c r="G54" i="42"/>
  <c r="J53" i="42"/>
  <c r="O53" i="42"/>
  <c r="K54" i="42"/>
  <c r="D53" i="42"/>
  <c r="J54" i="42"/>
  <c r="J63" i="42"/>
  <c r="N54" i="42"/>
  <c r="N63" i="42"/>
  <c r="F54" i="42"/>
  <c r="I53" i="42"/>
  <c r="E54" i="42"/>
  <c r="H53" i="42"/>
  <c r="L54" i="42"/>
  <c r="G53" i="42"/>
  <c r="F53" i="42"/>
  <c r="M53" i="42"/>
  <c r="E53" i="42"/>
  <c r="Z32" i="45"/>
  <c r="K56" i="42"/>
  <c r="N55" i="42"/>
  <c r="F55" i="42"/>
  <c r="J56" i="42"/>
  <c r="M55" i="42"/>
  <c r="E55" i="42"/>
  <c r="O56" i="42"/>
  <c r="I55" i="42"/>
  <c r="M56" i="42"/>
  <c r="G55" i="42"/>
  <c r="I56" i="42"/>
  <c r="L55" i="42"/>
  <c r="F56" i="42"/>
  <c r="E56" i="42"/>
  <c r="D56" i="42"/>
  <c r="L56" i="42"/>
  <c r="D55" i="42"/>
  <c r="H56" i="42"/>
  <c r="K55" i="42"/>
  <c r="G56" i="42"/>
  <c r="J55" i="42"/>
  <c r="N56" i="42"/>
  <c r="H55" i="42"/>
  <c r="O55" i="42"/>
  <c r="BN32" i="45"/>
  <c r="I62" i="42"/>
  <c r="L61" i="42"/>
  <c r="D62" i="42"/>
  <c r="M61" i="42"/>
  <c r="H62" i="42"/>
  <c r="K61" i="42"/>
  <c r="D61" i="42"/>
  <c r="M62" i="42"/>
  <c r="E62" i="42"/>
  <c r="H61" i="42"/>
  <c r="O61" i="42"/>
  <c r="K62" i="42"/>
  <c r="F61" i="42"/>
  <c r="O62" i="42"/>
  <c r="G62" i="42"/>
  <c r="J61" i="42"/>
  <c r="G61" i="42"/>
  <c r="E61" i="42"/>
  <c r="N62" i="42"/>
  <c r="F62" i="42"/>
  <c r="I61" i="42"/>
  <c r="L62" i="42"/>
  <c r="N61" i="42"/>
  <c r="J62" i="42"/>
  <c r="BO32" i="45"/>
  <c r="Z60" i="45"/>
  <c r="AJ83" i="47"/>
  <c r="AT83" i="47"/>
  <c r="AI78" i="47"/>
  <c r="AJ78" i="47"/>
  <c r="AT78" i="47"/>
  <c r="J7" i="46"/>
  <c r="AI82" i="47"/>
  <c r="AJ82" i="47"/>
  <c r="AT82" i="47"/>
  <c r="AI80" i="47"/>
  <c r="AJ80" i="47"/>
  <c r="AT80" i="47"/>
  <c r="AU51" i="47"/>
  <c r="AZ51" i="47"/>
  <c r="BB51" i="47"/>
  <c r="AU47" i="47"/>
  <c r="AZ47" i="47"/>
  <c r="BB47" i="47"/>
  <c r="AU43" i="47"/>
  <c r="AZ43" i="47"/>
  <c r="BB43" i="47"/>
  <c r="AU39" i="47"/>
  <c r="AV39" i="47"/>
  <c r="AU35" i="47"/>
  <c r="AZ35" i="47"/>
  <c r="BB35" i="47"/>
  <c r="AU31" i="47"/>
  <c r="AX31" i="47"/>
  <c r="BB31" i="47"/>
  <c r="AU27" i="47"/>
  <c r="AX27" i="47"/>
  <c r="BB27" i="47"/>
  <c r="AU23" i="47"/>
  <c r="AV23" i="47"/>
  <c r="AU19" i="47"/>
  <c r="AX19" i="47"/>
  <c r="BB19" i="47"/>
  <c r="AU15" i="47"/>
  <c r="AX15" i="47"/>
  <c r="BB15" i="47"/>
  <c r="AU11" i="47"/>
  <c r="AX11" i="47"/>
  <c r="BB11" i="47"/>
  <c r="AU4" i="47"/>
  <c r="AX4" i="47"/>
  <c r="BB4" i="47"/>
  <c r="AU49" i="47"/>
  <c r="AZ49" i="47"/>
  <c r="BB49" i="47"/>
  <c r="AU45" i="47"/>
  <c r="AZ45" i="47"/>
  <c r="BB45" i="47"/>
  <c r="AU41" i="47"/>
  <c r="AZ41" i="47"/>
  <c r="BB41" i="47"/>
  <c r="AU37" i="47"/>
  <c r="AZ37" i="47"/>
  <c r="BB37" i="47"/>
  <c r="AU33" i="47"/>
  <c r="AZ33" i="47"/>
  <c r="BB33" i="47"/>
  <c r="AU29" i="47"/>
  <c r="AX29" i="47"/>
  <c r="BB29" i="47"/>
  <c r="AU25" i="47"/>
  <c r="AX25" i="47"/>
  <c r="BB25" i="47"/>
  <c r="AU21" i="47"/>
  <c r="AX21" i="47"/>
  <c r="BB21" i="47"/>
  <c r="AU17" i="47"/>
  <c r="AX17" i="47"/>
  <c r="BB17" i="47"/>
  <c r="AU13" i="47"/>
  <c r="AX13" i="47"/>
  <c r="BB13" i="47"/>
  <c r="AU9" i="47"/>
  <c r="AX9" i="47"/>
  <c r="BB9" i="47"/>
  <c r="AU3" i="47"/>
  <c r="AX3" i="47"/>
  <c r="BB3" i="47"/>
  <c r="AU52" i="47"/>
  <c r="AZ52" i="47"/>
  <c r="BB52" i="47"/>
  <c r="AU48" i="47"/>
  <c r="AZ48" i="47"/>
  <c r="BB48" i="47"/>
  <c r="AU44" i="47"/>
  <c r="AV44" i="47"/>
  <c r="AU40" i="47"/>
  <c r="AV40" i="47"/>
  <c r="AU36" i="47"/>
  <c r="AZ36" i="47"/>
  <c r="BB36" i="47"/>
  <c r="AU32" i="47"/>
  <c r="AZ32" i="47"/>
  <c r="BB32" i="47"/>
  <c r="AU28" i="47"/>
  <c r="AX28" i="47"/>
  <c r="BB28" i="47"/>
  <c r="AU24" i="47"/>
  <c r="AV24" i="47"/>
  <c r="AU20" i="47"/>
  <c r="AX20" i="47"/>
  <c r="BB20" i="47"/>
  <c r="AU16" i="47"/>
  <c r="AX16" i="47"/>
  <c r="BB16" i="47"/>
  <c r="AU12" i="47"/>
  <c r="AV12" i="47"/>
  <c r="AU8" i="47"/>
  <c r="AV8" i="47"/>
  <c r="AU73" i="47"/>
  <c r="AV73" i="47"/>
  <c r="AU74" i="47"/>
  <c r="BA74" i="47"/>
  <c r="BB74" i="47"/>
  <c r="AU5" i="47"/>
  <c r="AX5" i="47"/>
  <c r="BB5" i="47"/>
  <c r="AV7" i="47"/>
  <c r="AX7" i="47"/>
  <c r="BB7" i="47"/>
  <c r="AV70" i="47"/>
  <c r="AZ70" i="47"/>
  <c r="BB70" i="47"/>
  <c r="AV69" i="47"/>
  <c r="AX69" i="47"/>
  <c r="BB69" i="47"/>
  <c r="AV57" i="47"/>
  <c r="AZ57" i="47"/>
  <c r="AX57" i="47"/>
  <c r="AV71" i="47"/>
  <c r="AX71" i="47"/>
  <c r="BB71" i="47"/>
  <c r="AV63" i="47"/>
  <c r="AX63" i="47"/>
  <c r="BB63" i="47"/>
  <c r="AV53" i="47"/>
  <c r="AX53" i="47"/>
  <c r="BB53" i="47"/>
  <c r="AU2" i="47"/>
  <c r="AV67" i="47"/>
  <c r="AX67" i="47"/>
  <c r="AZ67" i="47"/>
  <c r="AV56" i="47"/>
  <c r="AX56" i="47"/>
  <c r="BB56" i="47"/>
  <c r="AU75" i="47"/>
  <c r="AV59" i="47"/>
  <c r="AZ59" i="47"/>
  <c r="AX59" i="47"/>
  <c r="AU50" i="47"/>
  <c r="AU46" i="47"/>
  <c r="AU42" i="47"/>
  <c r="AU38" i="47"/>
  <c r="AU34" i="47"/>
  <c r="AU30" i="47"/>
  <c r="AU26" i="47"/>
  <c r="AU22" i="47"/>
  <c r="AU18" i="47"/>
  <c r="AU14" i="47"/>
  <c r="AU10" i="47"/>
  <c r="AV72" i="47"/>
  <c r="BA72" i="47"/>
  <c r="BB72" i="47"/>
  <c r="AV64" i="47"/>
  <c r="AX64" i="47"/>
  <c r="BB64" i="47"/>
  <c r="AV54" i="47"/>
  <c r="AX54" i="47"/>
  <c r="BB54" i="47"/>
  <c r="AU6" i="47"/>
  <c r="AU65" i="47"/>
  <c r="AA13" i="45"/>
  <c r="AA32" i="45"/>
  <c r="D63" i="42"/>
  <c r="D64" i="42"/>
  <c r="D35" i="42"/>
  <c r="P62" i="42"/>
  <c r="L63" i="42"/>
  <c r="K63" i="42"/>
  <c r="H63" i="42"/>
  <c r="E63" i="42"/>
  <c r="I63" i="42"/>
  <c r="P61" i="42"/>
  <c r="G63" i="42"/>
  <c r="AZ39" i="47"/>
  <c r="BB39" i="47"/>
  <c r="F63" i="42"/>
  <c r="O63" i="42"/>
  <c r="AU83" i="47"/>
  <c r="AW83" i="47"/>
  <c r="AU78" i="47"/>
  <c r="AX23" i="47"/>
  <c r="BB23" i="47"/>
  <c r="AU80" i="47"/>
  <c r="AV17" i="47"/>
  <c r="AV33" i="47"/>
  <c r="BA73" i="47"/>
  <c r="BB73" i="47"/>
  <c r="P59" i="42"/>
  <c r="P58" i="42"/>
  <c r="P57" i="42"/>
  <c r="P60" i="42"/>
  <c r="P55" i="42"/>
  <c r="P54" i="42"/>
  <c r="P56" i="42"/>
  <c r="AV27" i="47"/>
  <c r="AV11" i="47"/>
  <c r="AV15" i="47"/>
  <c r="AV19" i="47"/>
  <c r="AV35" i="47"/>
  <c r="AU82" i="47"/>
  <c r="AW82" i="47"/>
  <c r="AX8" i="47"/>
  <c r="BB8" i="47"/>
  <c r="AV37" i="47"/>
  <c r="AZ40" i="47"/>
  <c r="BB40" i="47"/>
  <c r="AV31" i="47"/>
  <c r="AV43" i="47"/>
  <c r="AV47" i="47"/>
  <c r="AV51" i="47"/>
  <c r="AV4" i="47"/>
  <c r="AV21" i="47"/>
  <c r="AX24" i="47"/>
  <c r="BB24" i="47"/>
  <c r="AZ44" i="47"/>
  <c r="BB44" i="47"/>
  <c r="AV32" i="47"/>
  <c r="AV48" i="47"/>
  <c r="AV13" i="47"/>
  <c r="AV25" i="47"/>
  <c r="AX12" i="47"/>
  <c r="BB12" i="47"/>
  <c r="AV28" i="47"/>
  <c r="AV9" i="47"/>
  <c r="AV41" i="47"/>
  <c r="AV16" i="47"/>
  <c r="AV45" i="47"/>
  <c r="AV49" i="47"/>
  <c r="AV20" i="47"/>
  <c r="AV36" i="47"/>
  <c r="AV52" i="47"/>
  <c r="AV3" i="47"/>
  <c r="AV29" i="47"/>
  <c r="AZ75" i="47"/>
  <c r="AV75" i="47"/>
  <c r="AV5" i="47"/>
  <c r="AV74" i="47"/>
  <c r="BB67" i="47"/>
  <c r="BB59" i="47"/>
  <c r="AV6" i="47"/>
  <c r="AX6" i="47"/>
  <c r="BB6" i="47"/>
  <c r="AX18" i="47"/>
  <c r="BB18" i="47"/>
  <c r="AV18" i="47"/>
  <c r="AZ34" i="47"/>
  <c r="BB34" i="47"/>
  <c r="AV34" i="47"/>
  <c r="AZ50" i="47"/>
  <c r="BB50" i="47"/>
  <c r="AV50" i="47"/>
  <c r="AX75" i="47"/>
  <c r="AX22" i="47"/>
  <c r="BB22" i="47"/>
  <c r="AV22" i="47"/>
  <c r="AZ38" i="47"/>
  <c r="BB38" i="47"/>
  <c r="AV38" i="47"/>
  <c r="AV55" i="47"/>
  <c r="AY55" i="47"/>
  <c r="BB55" i="47"/>
  <c r="AX10" i="47"/>
  <c r="BB10" i="47"/>
  <c r="AV10" i="47"/>
  <c r="AX26" i="47"/>
  <c r="BB26" i="47"/>
  <c r="AV26" i="47"/>
  <c r="AZ42" i="47"/>
  <c r="BB42" i="47"/>
  <c r="AV42" i="47"/>
  <c r="AV65" i="47"/>
  <c r="AZ65" i="47"/>
  <c r="AX65" i="47"/>
  <c r="AX14" i="47"/>
  <c r="BB14" i="47"/>
  <c r="AV14" i="47"/>
  <c r="AX30" i="47"/>
  <c r="BB30" i="47"/>
  <c r="AV30" i="47"/>
  <c r="AZ46" i="47"/>
  <c r="BB46" i="47"/>
  <c r="AV46" i="47"/>
  <c r="AV2" i="47"/>
  <c r="AX2" i="47"/>
  <c r="BB2" i="47"/>
  <c r="BB57" i="47"/>
  <c r="P53" i="42"/>
  <c r="P64" i="42"/>
  <c r="P35" i="42"/>
  <c r="AW80" i="47"/>
  <c r="P63" i="42"/>
  <c r="BB65" i="47"/>
  <c r="BB75" i="47"/>
  <c r="BB78"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4AE96A40-A55B-4945-B88B-647C380E31B3}">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D4E58191-4B07-493B-94DA-8D24D3378D39}">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5A07EE4-EABE-4673-94E9-863CBB6FC4CB}">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W17" authorId="0" shapeId="0" xr:uid="{D8D301C1-600F-4C0C-A5AE-D730FA6EC8BA}">
      <text>
        <r>
          <rPr>
            <b/>
            <sz val="9"/>
            <color indexed="81"/>
            <rFont val="Tahoma"/>
            <family val="2"/>
          </rPr>
          <t>ANGELA MARCELA FORERO RUIZ:</t>
        </r>
        <r>
          <rPr>
            <sz val="9"/>
            <color indexed="81"/>
            <rFont val="Tahoma"/>
            <family val="2"/>
          </rPr>
          <t xml:space="preserve">
Se ajusta la meta a 0,2 (no 2 como figuraba)</t>
        </r>
      </text>
    </comment>
    <comment ref="C32" authorId="1"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D34" authorId="0" shapeId="0" xr:uid="{618A8AA9-BD32-4EB4-AEC7-1805AB7BB2F3}">
      <text>
        <r>
          <rPr>
            <b/>
            <sz val="9"/>
            <color indexed="81"/>
            <rFont val="Tahoma"/>
            <family val="2"/>
          </rPr>
          <t>ANGELA MARCELA FORERO RUIZ:</t>
        </r>
        <r>
          <rPr>
            <sz val="9"/>
            <color indexed="81"/>
            <rFont val="Tahoma"/>
            <family val="2"/>
          </rPr>
          <t xml:space="preserve">
No está trayendo la meta programada</t>
        </r>
      </text>
    </comment>
    <comment ref="E34" authorId="0" shapeId="0" xr:uid="{509C41C9-1714-4527-BD07-5C192AABFB4E}">
      <text>
        <r>
          <rPr>
            <b/>
            <sz val="9"/>
            <color indexed="81"/>
            <rFont val="Tahoma"/>
            <family val="2"/>
          </rPr>
          <t>ANGELA MARCELA FORERO RUIZ:</t>
        </r>
        <r>
          <rPr>
            <sz val="9"/>
            <color indexed="81"/>
            <rFont val="Tahoma"/>
            <family val="2"/>
          </rPr>
          <t xml:space="preserve">
No está trayendo la meta programada</t>
        </r>
      </text>
    </comment>
    <comment ref="F34" authorId="0" shapeId="0" xr:uid="{BB5FD17C-3AD9-4FF2-A9D6-F58B8379460D}">
      <text>
        <r>
          <rPr>
            <b/>
            <sz val="9"/>
            <color indexed="81"/>
            <rFont val="Tahoma"/>
            <family val="2"/>
          </rPr>
          <t>ANGELA MARCELA FORERO RUIZ:</t>
        </r>
        <r>
          <rPr>
            <sz val="9"/>
            <color indexed="81"/>
            <rFont val="Tahoma"/>
            <family val="2"/>
          </rPr>
          <t xml:space="preserve">
No está trayendo la meta programada</t>
        </r>
      </text>
    </comment>
    <comment ref="G34" authorId="0" shapeId="0" xr:uid="{EEB78220-9385-43C6-BFBD-9D5F2E9E8306}">
      <text>
        <r>
          <rPr>
            <b/>
            <sz val="9"/>
            <color indexed="81"/>
            <rFont val="Tahoma"/>
            <family val="2"/>
          </rPr>
          <t>ANGELA MARCELA FORERO RUIZ:</t>
        </r>
        <r>
          <rPr>
            <sz val="9"/>
            <color indexed="81"/>
            <rFont val="Tahoma"/>
            <family val="2"/>
          </rPr>
          <t xml:space="preserve">
No está trayendo la meta programada</t>
        </r>
      </text>
    </comment>
    <comment ref="H34" authorId="0" shapeId="0" xr:uid="{61A4DD9F-B17E-48A8-8D74-8B2E22F8132D}">
      <text>
        <r>
          <rPr>
            <b/>
            <sz val="9"/>
            <color indexed="81"/>
            <rFont val="Tahoma"/>
            <family val="2"/>
          </rPr>
          <t>ANGELA MARCELA FORERO RUIZ:</t>
        </r>
        <r>
          <rPr>
            <sz val="9"/>
            <color indexed="81"/>
            <rFont val="Tahoma"/>
            <family val="2"/>
          </rPr>
          <t xml:space="preserve">
No está trayendo la meta programada</t>
        </r>
      </text>
    </comment>
    <comment ref="I34" authorId="0" shapeId="0" xr:uid="{EFE8BD7C-A646-43EB-BB36-3FE95329B2B2}">
      <text>
        <r>
          <rPr>
            <b/>
            <sz val="9"/>
            <color indexed="81"/>
            <rFont val="Tahoma"/>
            <family val="2"/>
          </rPr>
          <t>ANGELA MARCELA FORERO RUIZ:</t>
        </r>
        <r>
          <rPr>
            <sz val="9"/>
            <color indexed="81"/>
            <rFont val="Tahoma"/>
            <family val="2"/>
          </rPr>
          <t xml:space="preserve">
No está trayendo la meta programada</t>
        </r>
      </text>
    </comment>
    <comment ref="J34" authorId="0" shapeId="0" xr:uid="{59682363-2B61-43CC-922D-1A3AC865C4F1}">
      <text>
        <r>
          <rPr>
            <b/>
            <sz val="9"/>
            <color indexed="81"/>
            <rFont val="Tahoma"/>
            <family val="2"/>
          </rPr>
          <t>ANGELA MARCELA FORERO RUIZ:</t>
        </r>
        <r>
          <rPr>
            <sz val="9"/>
            <color indexed="81"/>
            <rFont val="Tahoma"/>
            <family val="2"/>
          </rPr>
          <t xml:space="preserve">
No está trayendo la meta programada</t>
        </r>
      </text>
    </comment>
    <comment ref="K34" authorId="0" shapeId="0" xr:uid="{EF57793C-8691-4334-9BD4-0A0DE82A6BDD}">
      <text>
        <r>
          <rPr>
            <b/>
            <sz val="9"/>
            <color indexed="81"/>
            <rFont val="Tahoma"/>
            <family val="2"/>
          </rPr>
          <t>ANGELA MARCELA FORERO RUIZ:</t>
        </r>
        <r>
          <rPr>
            <sz val="9"/>
            <color indexed="81"/>
            <rFont val="Tahoma"/>
            <family val="2"/>
          </rPr>
          <t xml:space="preserve">
No está trayendo la meta programada</t>
        </r>
      </text>
    </comment>
    <comment ref="L34" authorId="0" shapeId="0" xr:uid="{EAB73F9D-6802-435D-B762-45F91C54EB9C}">
      <text>
        <r>
          <rPr>
            <b/>
            <sz val="9"/>
            <color indexed="81"/>
            <rFont val="Tahoma"/>
            <family val="2"/>
          </rPr>
          <t>ANGELA MARCELA FORERO RUIZ:</t>
        </r>
        <r>
          <rPr>
            <sz val="9"/>
            <color indexed="81"/>
            <rFont val="Tahoma"/>
            <family val="2"/>
          </rPr>
          <t xml:space="preserve">
No está trayendo la meta programada</t>
        </r>
      </text>
    </comment>
    <comment ref="M34" authorId="0" shapeId="0" xr:uid="{E6BD0394-89E4-4956-97EA-602C22D50652}">
      <text>
        <r>
          <rPr>
            <b/>
            <sz val="9"/>
            <color indexed="81"/>
            <rFont val="Tahoma"/>
            <family val="2"/>
          </rPr>
          <t>ANGELA MARCELA FORERO RUIZ:</t>
        </r>
        <r>
          <rPr>
            <sz val="9"/>
            <color indexed="81"/>
            <rFont val="Tahoma"/>
            <family val="2"/>
          </rPr>
          <t xml:space="preserve">
No está trayendo la meta programada</t>
        </r>
      </text>
    </comment>
    <comment ref="N34" authorId="0" shapeId="0" xr:uid="{CAB7F6F1-9EF5-4C34-8B56-E376CD5BFA78}">
      <text>
        <r>
          <rPr>
            <b/>
            <sz val="9"/>
            <color indexed="81"/>
            <rFont val="Tahoma"/>
            <family val="2"/>
          </rPr>
          <t>ANGELA MARCELA FORERO RUIZ:</t>
        </r>
        <r>
          <rPr>
            <sz val="9"/>
            <color indexed="81"/>
            <rFont val="Tahoma"/>
            <family val="2"/>
          </rPr>
          <t xml:space="preserve">
No está trayendo la meta programada</t>
        </r>
      </text>
    </comment>
    <comment ref="O34" authorId="0" shapeId="0" xr:uid="{A2576D39-665F-4B43-9B13-C2074A32E1F5}">
      <text>
        <r>
          <rPr>
            <b/>
            <sz val="9"/>
            <color indexed="81"/>
            <rFont val="Tahoma"/>
            <family val="2"/>
          </rPr>
          <t>ANGELA MARCELA FORERO RUIZ:</t>
        </r>
        <r>
          <rPr>
            <sz val="9"/>
            <color indexed="81"/>
            <rFont val="Tahoma"/>
            <family val="2"/>
          </rPr>
          <t xml:space="preserve">
No está trayendo la meta programada</t>
        </r>
      </text>
    </comment>
    <comment ref="Q34" authorId="0" shapeId="0" xr:uid="{200CD585-8155-4D78-9308-F66DB26F6D46}">
      <text>
        <r>
          <rPr>
            <b/>
            <sz val="10"/>
            <color indexed="81"/>
            <rFont val="Tahoma"/>
            <family val="2"/>
          </rPr>
          <t>ANGELA MARCELA FORERO RUIZ:</t>
        </r>
        <r>
          <rPr>
            <sz val="10"/>
            <color indexed="81"/>
            <rFont val="Tahoma"/>
            <family val="2"/>
          </rPr>
          <t xml:space="preserve">
Se presentaron avances cualitativos pero no cuantitativos y nos pueden mencionar que esto si puede ser cuantificable.
Se sugiere mejorar la redacción indicando que auqnue no se tenían actividades programadas para el mes de enero, se pudo avanzar en activiades de alisstamiento relacionadas con xxx y mencionar muy corto lo que se hizo</t>
        </r>
      </text>
    </comment>
    <comment ref="Q38" authorId="0" shapeId="0" xr:uid="{58E4D8B6-47B2-4D58-A250-9BCBE524222F}">
      <text>
        <r>
          <rPr>
            <b/>
            <sz val="10"/>
            <color indexed="81"/>
            <rFont val="Tahoma"/>
            <family val="2"/>
          </rPr>
          <t>ANGELA MARCELA FORERO RUIZ:</t>
        </r>
        <r>
          <rPr>
            <sz val="10"/>
            <color indexed="81"/>
            <rFont val="Tahoma"/>
            <family val="2"/>
          </rPr>
          <t xml:space="preserve">
Se presentaron avances cualitativos pero no cuantitativos y nos pueden mencionar que porqué está en 0% si  hubo avances
Se sugiere mejorar la redacción indicando que auqnue no se tenían actividades programadas para el mes de enero, se pudo avanzar en activiades de alisstamiento relacionadas con xxx y mencionar muy corto lo que se hizo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ANGELA MARCELA FORERO RUIZ</author>
  </authors>
  <commentList>
    <comment ref="C32"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4" authorId="2" shapeId="0" xr:uid="{6946DAC9-2899-4F38-9976-85AE420D6E9C}">
      <text>
        <r>
          <rPr>
            <b/>
            <sz val="9"/>
            <color indexed="81"/>
            <rFont val="Tahoma"/>
            <family val="2"/>
          </rPr>
          <t>ANGELA MARCELA FORERO RUIZ:</t>
        </r>
        <r>
          <rPr>
            <sz val="9"/>
            <color indexed="81"/>
            <rFont val="Tahoma"/>
            <family val="2"/>
          </rPr>
          <t xml:space="preserve">
Se presentaron avances cualitativos pero no cuantitativos y nos pueden mencionar que esto si puede ser cuantificable.
Se sugiere mejorar la redacción indicando que auqnue no se tenían actividades programadas para el mes de enero, se pudo avanzar en activiades de alisstamiento relacionadas con xxx y mencionar muy corto lo que se hizo</t>
        </r>
      </text>
    </comment>
    <comment ref="Q38" authorId="2" shapeId="0" xr:uid="{D1DFE984-2CA0-4240-9020-9E58D0227F4D}">
      <text>
        <r>
          <rPr>
            <b/>
            <sz val="9"/>
            <color indexed="81"/>
            <rFont val="Tahoma"/>
            <family val="2"/>
          </rPr>
          <t>ANGELA MARCELA FORERO RUIZ:</t>
        </r>
        <r>
          <rPr>
            <sz val="9"/>
            <color indexed="81"/>
            <rFont val="Tahoma"/>
            <family val="2"/>
          </rPr>
          <t xml:space="preserve">
ANGELA MARCELA FORERO RUIZ:
Se presentaron avances cualitativos pero no cuantitativos y nos pueden mencionar que porqué está en 0% si hubo avances
Se sugiere mejorar la redacción indicando que auqnue no se tenían actividades programadas para el mes de enero, se pudo avanzar en activiades de alisstamiento relacionadas con xxx y mencionar muy corto lo que se hizo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ANGELA MARCELA FORERO RUIZ</author>
  </authors>
  <commentList>
    <comment ref="AV5" authorId="0" shapeId="0" xr:uid="{00000000-0006-0000-04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4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X5" authorId="0" shapeId="0" xr:uid="{00000000-0006-0000-04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4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4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4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4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4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4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A13" authorId="1" shapeId="0" xr:uid="{CF4580E5-3178-4391-9007-213889081D46}">
      <text>
        <r>
          <rPr>
            <b/>
            <sz val="9"/>
            <color indexed="81"/>
            <rFont val="Tahoma"/>
            <family val="2"/>
          </rPr>
          <t>ANGELA MARCELA FORERO RUIZ:</t>
        </r>
        <r>
          <rPr>
            <sz val="9"/>
            <color indexed="81"/>
            <rFont val="Tahoma"/>
            <family val="2"/>
          </rPr>
          <t xml:space="preserve">
Como este indicador PMR tambien es meta PDD se inlcuye el numero de la meta al igual que en la celda del pmr con el numero del indicador pmr</t>
        </r>
      </text>
    </comment>
    <comment ref="D13" authorId="1" shapeId="0" xr:uid="{AC6AD7C7-D8FF-4776-B31B-186BB1C89D43}">
      <text>
        <r>
          <rPr>
            <b/>
            <sz val="9"/>
            <color indexed="81"/>
            <rFont val="Tahoma"/>
            <family val="2"/>
          </rPr>
          <t>ANGELA MARCELA FORERO RUIZ:</t>
        </r>
        <r>
          <rPr>
            <sz val="9"/>
            <color indexed="81"/>
            <rFont val="Tahoma"/>
            <family val="2"/>
          </rPr>
          <t xml:space="preserve">
Como este indicador PMR tambien es meta PDD se inlcuye el numero de la meta al igual que en la celda del pmr con el numero del indicador pmr</t>
        </r>
      </text>
    </comment>
    <comment ref="G13" authorId="1" shapeId="0" xr:uid="{258B972B-3D69-4417-B22F-F0A66BAF21D2}">
      <text>
        <r>
          <rPr>
            <b/>
            <sz val="9"/>
            <color indexed="81"/>
            <rFont val="Tahoma"/>
            <family val="2"/>
          </rPr>
          <t>ANGELA MARCELA FORERO RUIZ:</t>
        </r>
        <r>
          <rPr>
            <sz val="9"/>
            <color indexed="81"/>
            <rFont val="Tahoma"/>
            <family val="2"/>
          </rPr>
          <t xml:space="preserve">
Estas celdas solo se diligencian para indicadores POA</t>
        </r>
      </text>
    </comment>
    <comment ref="A14" authorId="1" shapeId="0" xr:uid="{04CB7A7A-062F-4EE3-A819-E0A5A51C4710}">
      <text>
        <r>
          <rPr>
            <b/>
            <sz val="9"/>
            <color indexed="81"/>
            <rFont val="Tahoma"/>
            <family val="2"/>
          </rPr>
          <t>ANGELA MARCELA FORERO RUIZ:</t>
        </r>
        <r>
          <rPr>
            <sz val="9"/>
            <color indexed="81"/>
            <rFont val="Tahoma"/>
            <family val="2"/>
          </rPr>
          <t xml:space="preserve">
Incluir el indicador PDD del diseño de la estrategia y toda la información correspondiente</t>
        </r>
      </text>
    </comment>
    <comment ref="J16" authorId="1" shapeId="0" xr:uid="{AA4FEF72-952C-4A20-9431-FC4C800A76FF}">
      <text>
        <r>
          <rPr>
            <b/>
            <sz val="9"/>
            <color indexed="81"/>
            <rFont val="Tahoma"/>
            <family val="2"/>
          </rPr>
          <t>ANGELA MARCELA FORERO RUIZ:</t>
        </r>
        <r>
          <rPr>
            <sz val="9"/>
            <color indexed="81"/>
            <rFont val="Tahoma"/>
            <family val="2"/>
          </rPr>
          <t xml:space="preserve">
Se sugiere redactar como tipo indicador: 
Número de registros en la ruta de divulgación y orientación</t>
        </r>
      </text>
    </comment>
    <comment ref="J17" authorId="1" shapeId="0" xr:uid="{4177ACAB-BEDA-4100-B92B-47B473FD7EF7}">
      <text>
        <r>
          <rPr>
            <b/>
            <sz val="9"/>
            <color indexed="81"/>
            <rFont val="Tahoma"/>
            <family val="2"/>
          </rPr>
          <t>ANGELA MARCELA FORERO RUIZ:</t>
        </r>
        <r>
          <rPr>
            <sz val="9"/>
            <color indexed="81"/>
            <rFont val="Tahoma"/>
            <family val="2"/>
          </rPr>
          <t xml:space="preserve">
Se sugiere redactar como tipo indicador: 
Número de mujeres orientadas a través de la ruta de divulgación y orientación</t>
        </r>
      </text>
    </comment>
    <comment ref="J18" authorId="1" shapeId="0" xr:uid="{7AC12EFC-ABA6-48F0-A026-FDA2B4F21088}">
      <text>
        <r>
          <rPr>
            <b/>
            <sz val="9"/>
            <color indexed="81"/>
            <rFont val="Tahoma"/>
            <family val="2"/>
          </rPr>
          <t xml:space="preserve">ANGELA MARCELA FORERO RUIZ:
</t>
        </r>
        <r>
          <rPr>
            <sz val="9"/>
            <color indexed="81"/>
            <rFont val="Tahoma"/>
            <family val="2"/>
          </rPr>
          <t xml:space="preserve">Se sugiere redactar como tipo indicador: 
Número de rinformes ponerle nombre … tal vez numero de informes de cumplimiento al decreto 332 de 2020 por parte de entidaes y organismos del Distrito </t>
        </r>
      </text>
    </comment>
    <comment ref="J19" authorId="1" shapeId="0" xr:uid="{AFE6BD1C-938F-4163-A0B8-1D9CDB868613}">
      <text>
        <r>
          <rPr>
            <b/>
            <sz val="9"/>
            <color indexed="81"/>
            <rFont val="Tahoma"/>
            <family val="2"/>
          </rPr>
          <t>ANGELA MARCELA FORERO RUIZ:</t>
        </r>
        <r>
          <rPr>
            <sz val="9"/>
            <color indexed="81"/>
            <rFont val="Tahoma"/>
            <family val="2"/>
          </rPr>
          <t xml:space="preserve">
Se sugiere redactar como tipo indicador: 
Número de propuestas de programas enfocados a la disminución de brecha económica entre hombres y mujeres</t>
        </r>
      </text>
    </comment>
    <comment ref="J20" authorId="1" shapeId="0" xr:uid="{45C937CD-94F1-4AE5-886F-DDF9E084C340}">
      <text>
        <r>
          <rPr>
            <b/>
            <sz val="9"/>
            <color indexed="81"/>
            <rFont val="Tahoma"/>
            <family val="2"/>
          </rPr>
          <t xml:space="preserve">ANGELA MARCELA FORERO RUIZ
ANGELA MARCELA FORERO RUIZ:
</t>
        </r>
        <r>
          <rPr>
            <sz val="9"/>
            <color indexed="81"/>
            <rFont val="Tahoma"/>
            <family val="2"/>
          </rPr>
          <t>Se sugiere redactar como tipo indicador: 
Número de informes trimestrales de supervisión de (ponerle nombre)</t>
        </r>
      </text>
    </comment>
    <comment ref="K20" authorId="1" shapeId="0" xr:uid="{037B5D8A-DEFE-4CD1-B69A-07450E90A321}">
      <text>
        <r>
          <rPr>
            <b/>
            <sz val="9"/>
            <color indexed="81"/>
            <rFont val="Tahoma"/>
            <family val="2"/>
          </rPr>
          <t>ANGELA MARCELA FORERO RUIZ:</t>
        </r>
        <r>
          <rPr>
            <sz val="9"/>
            <color indexed="81"/>
            <rFont val="Tahoma"/>
            <family val="2"/>
          </rPr>
          <t xml:space="preserve">
De acuerdo a la sugerencia el indicador sería tipo suma</t>
        </r>
      </text>
    </comment>
    <comment ref="M20" authorId="1" shapeId="0" xr:uid="{6F8DEBF1-046F-4CF2-891C-6A6915C3945F}">
      <text>
        <r>
          <rPr>
            <b/>
            <sz val="9"/>
            <color indexed="81"/>
            <rFont val="Tahoma"/>
            <family val="2"/>
          </rPr>
          <t>ANGELA MARCELA FORERO RUIZ:</t>
        </r>
        <r>
          <rPr>
            <sz val="9"/>
            <color indexed="81"/>
            <rFont val="Tahoma"/>
            <family val="2"/>
          </rPr>
          <t xml:space="preserve">
Se suigere dejarlo como suma y poner 1 informe cada trimestre para un total de cuatro, en ese orden la unidad de medida es Núemero</t>
        </r>
      </text>
    </comment>
    <comment ref="Q20" authorId="1" shapeId="0" xr:uid="{C3F2BFF8-D37A-41A3-9D19-12355923F571}">
      <text>
        <r>
          <rPr>
            <b/>
            <sz val="9"/>
            <color indexed="81"/>
            <rFont val="Tahoma"/>
            <family val="2"/>
          </rPr>
          <t>ANGELA MARCELA FORERO RUIZ:</t>
        </r>
        <r>
          <rPr>
            <sz val="9"/>
            <color indexed="81"/>
            <rFont val="Tahoma"/>
            <family val="2"/>
          </rPr>
          <t xml:space="preserve">
Se suigere dejarlo como suma y poner 1 informe cada trimestre para una meta de 4</t>
        </r>
      </text>
    </comment>
    <comment ref="X20" authorId="1" shapeId="0" xr:uid="{CAEE533A-70F2-4DCC-9A1D-7023CBF3C558}">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A20" authorId="1" shapeId="0" xr:uid="{0A930349-C640-4A43-B535-F9859DAEF3F1}">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D20" authorId="1" shapeId="0" xr:uid="{ED8A33CB-F635-40FD-B67D-03E6DD30E220}">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G20" authorId="1" shapeId="0" xr:uid="{74EC511D-8B12-42EA-A121-8B0C5107172D}">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J21" authorId="1" shapeId="0" xr:uid="{C613D220-6373-4D5C-8425-EE796FCC6EEC}">
      <text>
        <r>
          <rPr>
            <b/>
            <sz val="9"/>
            <color indexed="81"/>
            <rFont val="Tahoma"/>
            <family val="2"/>
          </rPr>
          <t>ANGELA MARCELA FORERO RUIZ:</t>
        </r>
        <r>
          <rPr>
            <sz val="9"/>
            <color indexed="81"/>
            <rFont val="Tahoma"/>
            <family val="2"/>
          </rPr>
          <t xml:space="preserve">
Se sugiere redactar en términos de indicador, por ejemplo: 
Opción 1: 
Opción 2: 
Porcentaje de avance en la elaboración de los insumos para el documento técnico y así ajustar la unidad de medida, el tipo de meta, el valor, etc
Opción 3
Documento técnico para el Comité Técnico del Programa xx elaborado 
y en ese orden ajustar el tipo de meta,la unidad de medida y demás información</t>
        </r>
      </text>
    </comment>
    <comment ref="K21" authorId="1" shapeId="0" xr:uid="{93F070DD-A70F-4121-BA1A-644F8B7DFC63}">
      <text>
        <r>
          <rPr>
            <b/>
            <sz val="9"/>
            <color indexed="81"/>
            <rFont val="Tahoma"/>
            <family val="2"/>
          </rPr>
          <t>ANGELA MARCELA FORERO RUIZ:</t>
        </r>
        <r>
          <rPr>
            <sz val="9"/>
            <color indexed="81"/>
            <rFont val="Tahoma"/>
            <family val="2"/>
          </rPr>
          <t xml:space="preserve">
De acuerdo a la sugerencia el indicador sería tipo suma</t>
        </r>
      </text>
    </comment>
    <comment ref="M21" authorId="1" shapeId="0" xr:uid="{DF30DCB5-06FC-45DB-88B1-DBB1851E92E0}">
      <text>
        <r>
          <rPr>
            <b/>
            <sz val="9"/>
            <color indexed="81"/>
            <rFont val="Tahoma"/>
            <family val="2"/>
          </rPr>
          <t>ANGELA MARCELA FORERO RUIZ:</t>
        </r>
        <r>
          <rPr>
            <sz val="9"/>
            <color indexed="81"/>
            <rFont val="Tahoma"/>
            <family val="2"/>
          </rPr>
          <t xml:space="preserve">
Ajustar de acuerdo a lo que se decida dejar como indicador</t>
        </r>
      </text>
    </comment>
    <comment ref="T21" authorId="1" shapeId="0" xr:uid="{31EB74D5-D371-4258-8C81-CE9F141B1377}">
      <text>
        <r>
          <rPr>
            <b/>
            <sz val="9"/>
            <color indexed="81"/>
            <rFont val="Tahoma"/>
            <family val="2"/>
          </rPr>
          <t>ANGELA MARCELA FORERO RUIZ:</t>
        </r>
        <r>
          <rPr>
            <sz val="9"/>
            <color indexed="81"/>
            <rFont val="Tahoma"/>
            <family val="2"/>
          </rPr>
          <t xml:space="preserve">
La periodicidad no es trimetral</t>
        </r>
      </text>
    </comment>
    <comment ref="J22" authorId="1" shapeId="0" xr:uid="{E60E33D8-A76C-4053-AC8D-A3EC42C865F2}">
      <text>
        <r>
          <rPr>
            <b/>
            <sz val="9"/>
            <color indexed="81"/>
            <rFont val="Tahoma"/>
            <family val="2"/>
          </rPr>
          <t>ANGELA MARCELA FORERO RUIZ:</t>
        </r>
        <r>
          <rPr>
            <sz val="9"/>
            <color indexed="81"/>
            <rFont val="Tahoma"/>
            <family val="2"/>
          </rPr>
          <t xml:space="preserve">
Redactar en forma de indicador, por ejemplo
Documento de fortalecimiento organizativo elaborado y poner la meta como 1 cuando se finalice o si son dos documentos entonces 1 documento en cada semestre
O si es porcentaje de avance en la elaboración del documento entonce se dejaría como indicador tipo suma, unidad de medida % y sería 50% de avance en cada uno de los semestres
Revisar por favor</t>
        </r>
      </text>
    </comment>
    <comment ref="K22" authorId="1" shapeId="0" xr:uid="{6EC1DF47-45A3-4576-9B2E-7E7E7AE4B723}">
      <text>
        <r>
          <rPr>
            <b/>
            <sz val="9"/>
            <color indexed="81"/>
            <rFont val="Tahoma"/>
            <family val="2"/>
          </rPr>
          <t>ANGELA MARCELA FORERO RUIZ:</t>
        </r>
        <r>
          <rPr>
            <sz val="9"/>
            <color indexed="81"/>
            <rFont val="Tahoma"/>
            <family val="2"/>
          </rPr>
          <t xml:space="preserve">
De acuerdo a la sugerencia el indicador sería tipo suma</t>
        </r>
      </text>
    </comment>
    <comment ref="M22" authorId="1" shapeId="0" xr:uid="{5609A21E-9C37-420D-A236-02A5910C5DBE}">
      <text>
        <r>
          <rPr>
            <b/>
            <sz val="9"/>
            <color indexed="81"/>
            <rFont val="Tahoma"/>
            <family val="2"/>
          </rPr>
          <t>ANGELA MARCELA FORERO RUIZ:</t>
        </r>
        <r>
          <rPr>
            <sz val="9"/>
            <color indexed="81"/>
            <rFont val="Tahoma"/>
            <family val="2"/>
          </rPr>
          <t xml:space="preserve">
Ajustar de acuerdo a lo que se decida dejar como indicador</t>
        </r>
      </text>
    </comment>
    <comment ref="J23" authorId="1" shapeId="0" xr:uid="{50766581-96A9-4400-BE4F-F3654512C840}">
      <text>
        <r>
          <rPr>
            <b/>
            <sz val="9"/>
            <color indexed="81"/>
            <rFont val="Tahoma"/>
            <family val="2"/>
          </rPr>
          <t>ANGELA MARCELA FORERO RUIZ:</t>
        </r>
        <r>
          <rPr>
            <sz val="9"/>
            <color indexed="81"/>
            <rFont val="Tahoma"/>
            <family val="2"/>
          </rPr>
          <t xml:space="preserve">
Redactar en forma de indicador
Documento proceso convocatoria elaborado</t>
        </r>
      </text>
    </comment>
    <comment ref="K23" authorId="1" shapeId="0" xr:uid="{DE5FDED9-0621-418B-8DF0-129CB242ED82}">
      <text>
        <r>
          <rPr>
            <b/>
            <sz val="9"/>
            <color indexed="81"/>
            <rFont val="Tahoma"/>
            <family val="2"/>
          </rPr>
          <t>ANGELA MARCELA FORERO RUIZ:</t>
        </r>
        <r>
          <rPr>
            <sz val="9"/>
            <color indexed="81"/>
            <rFont val="Tahoma"/>
            <family val="2"/>
          </rPr>
          <t xml:space="preserve">
De acuerdo a la sugerencia el indicador sería tipo suma</t>
        </r>
      </text>
    </comment>
    <comment ref="M23" authorId="1" shapeId="0" xr:uid="{8D8B89C5-9859-44C9-A5F4-69CB5BB71916}">
      <text>
        <r>
          <rPr>
            <b/>
            <sz val="9"/>
            <color indexed="81"/>
            <rFont val="Tahoma"/>
            <family val="2"/>
          </rPr>
          <t>ANGELA MARCELA FORERO RUIZ:</t>
        </r>
        <r>
          <rPr>
            <sz val="9"/>
            <color indexed="81"/>
            <rFont val="Tahoma"/>
            <family val="2"/>
          </rPr>
          <t xml:space="preserve">
Ajustar de acuerdo a lo que se decida dejar como indicador</t>
        </r>
      </text>
    </comment>
    <comment ref="T23" authorId="1" shapeId="0" xr:uid="{18D93B6F-49A5-47EC-8333-9F4BFCDF1EA6}">
      <text>
        <r>
          <rPr>
            <b/>
            <sz val="9"/>
            <color indexed="81"/>
            <rFont val="Tahoma"/>
            <family val="2"/>
          </rPr>
          <t>ANGELA MARCELA FORERO RUIZ:</t>
        </r>
        <r>
          <rPr>
            <sz val="9"/>
            <color indexed="81"/>
            <rFont val="Tahoma"/>
            <family val="2"/>
          </rPr>
          <t xml:space="preserve">
Ajustar periodicidad a anual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B7" authorId="0" shapeId="0" xr:uid="{D34A71E0-BF83-4704-A110-EE9E46E9D921}">
      <text>
        <r>
          <rPr>
            <b/>
            <sz val="9"/>
            <color indexed="81"/>
            <rFont val="Tahoma"/>
            <family val="2"/>
          </rPr>
          <t>ANGELA MARCELA FORERO RUIZ:</t>
        </r>
        <r>
          <rPr>
            <sz val="9"/>
            <color indexed="81"/>
            <rFont val="Tahoma"/>
            <family val="2"/>
          </rPr>
          <t xml:space="preserve">
Se diligencia el nombre de la meta</t>
        </r>
      </text>
    </comment>
    <comment ref="AA10" authorId="0" shapeId="0" xr:uid="{02CB574D-8CA5-4CAE-ADD0-00D92EF4370B}">
      <text>
        <r>
          <rPr>
            <b/>
            <sz val="9"/>
            <color indexed="81"/>
            <rFont val="Tahoma"/>
            <family val="2"/>
          </rPr>
          <t>ANGELA MARCELA FORERO RUIZ:</t>
        </r>
        <r>
          <rPr>
            <sz val="9"/>
            <color indexed="81"/>
            <rFont val="Tahoma"/>
            <family val="2"/>
          </rPr>
          <t xml:space="preserve">
Ajustar la territorialización al valor de la meta $1.241.870.787</t>
        </r>
      </text>
    </comment>
    <comment ref="A37" authorId="0" shapeId="0" xr:uid="{E64BFBEA-AD7E-4529-9DBE-2146DAB2ED19}">
      <text>
        <r>
          <rPr>
            <b/>
            <sz val="9"/>
            <color indexed="81"/>
            <rFont val="Tahoma"/>
            <family val="2"/>
          </rPr>
          <t>El objetivo de la estrategia de emprendimiento y empleabilidad es Desarrollar y fortalecer capacidades, facilitar el acceso a recursos y mercados para promover la autonomía económica de las mujeres y reducir la feminización de la pobreza en el marco de la estrategia de reactivación económica 2021-2023 y se encuentra dirigida a las mujeres del Distrito Capital sin importar la localidad a la cual pertenezcan. Se territorializan los recursos destinados al componente territorial de la Estrategia de E&amp;E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PC</author>
    <author>Usuario Microsoft</author>
  </authors>
  <commentList>
    <comment ref="A1" authorId="0" shapeId="0" xr:uid="{9199D789-D59C-47A8-9853-322759848DB6}">
      <text>
        <r>
          <rPr>
            <b/>
            <sz val="9"/>
            <color rgb="FF000000"/>
            <rFont val="Tahoma"/>
            <family val="2"/>
          </rPr>
          <t>PC:</t>
        </r>
        <r>
          <rPr>
            <sz val="9"/>
            <color rgb="FF000000"/>
            <rFont val="Tahoma"/>
            <family val="2"/>
          </rPr>
          <t xml:space="preserve">
</t>
        </r>
        <r>
          <rPr>
            <sz val="9"/>
            <color rgb="FF000000"/>
            <rFont val="Tahoma"/>
            <family val="2"/>
          </rPr>
          <t>FECHA DE LA ULTIMA VERSION DE PROGRAMACION RECIBIDA</t>
        </r>
      </text>
    </comment>
    <comment ref="B1" authorId="0" shapeId="0" xr:uid="{4D671E4D-352B-4E19-BBF9-BFC9E2559EB6}">
      <text>
        <r>
          <rPr>
            <b/>
            <sz val="9"/>
            <color rgb="FF000000"/>
            <rFont val="Tahoma"/>
            <family val="2"/>
          </rPr>
          <t>PC:</t>
        </r>
        <r>
          <rPr>
            <sz val="9"/>
            <color rgb="FF000000"/>
            <rFont val="Tahoma"/>
            <family val="2"/>
          </rPr>
          <t xml:space="preserve">
</t>
        </r>
        <r>
          <rPr>
            <sz val="9"/>
            <color rgb="FF000000"/>
            <rFont val="Tahoma"/>
            <family val="2"/>
          </rPr>
          <t>SI SE LLEGA A NECESITAR ELIMINAR UN PROCESO, DEBEN MARCAR "NO", EN ESTA COLUMNA</t>
        </r>
      </text>
    </comment>
    <comment ref="E1" authorId="0" shapeId="0" xr:uid="{9763FFC4-18C6-4ECB-9DBB-7DE20801B7CB}">
      <text>
        <r>
          <rPr>
            <b/>
            <sz val="9"/>
            <color rgb="FF000000"/>
            <rFont val="Tahoma"/>
            <family val="2"/>
          </rPr>
          <t>Columna incluida el 04/11/2021</t>
        </r>
      </text>
    </comment>
    <comment ref="I1" authorId="0" shapeId="0" xr:uid="{543B7972-7DBD-4EA8-8D2B-015E84CC9EE2}">
      <text>
        <r>
          <rPr>
            <b/>
            <sz val="9"/>
            <color rgb="FF000000"/>
            <rFont val="Tahoma"/>
            <family val="2"/>
          </rPr>
          <t>PC:</t>
        </r>
        <r>
          <rPr>
            <sz val="9"/>
            <color rgb="FF000000"/>
            <rFont val="Tahoma"/>
            <family val="2"/>
          </rPr>
          <t xml:space="preserve">
</t>
        </r>
        <r>
          <rPr>
            <sz val="9"/>
            <color rgb="FF000000"/>
            <rFont val="Tahoma"/>
            <family val="2"/>
          </rPr>
          <t xml:space="preserve">En orientacion al nuevo Segplan, se solicita realizar esta clasificación
</t>
        </r>
      </text>
    </comment>
    <comment ref="K1" authorId="1" shapeId="0" xr:uid="{315004F7-1E5B-48BD-8250-DDBC1962BF39}">
      <text>
        <r>
          <rPr>
            <b/>
            <sz val="9"/>
            <color rgb="FF000000"/>
            <rFont val="Tahoma"/>
            <family val="2"/>
          </rPr>
          <t>OAP:</t>
        </r>
        <r>
          <rPr>
            <sz val="9"/>
            <color rgb="FF000000"/>
            <rFont val="Tahoma"/>
            <family val="2"/>
          </rPr>
          <t xml:space="preserve">
</t>
        </r>
        <r>
          <rPr>
            <sz val="9"/>
            <color rgb="FF000000"/>
            <rFont val="Tahoma"/>
            <family val="2"/>
          </rPr>
          <t>SE DEBE SELECCIONAR EL PROPOSITO QUE CORRESPONDA DE LA LISTA DESPLEGABLE</t>
        </r>
      </text>
    </comment>
    <comment ref="L1" authorId="1" shapeId="0" xr:uid="{4082A301-0A25-4759-8F2D-9747EAC59704}">
      <text>
        <r>
          <rPr>
            <b/>
            <sz val="9"/>
            <color rgb="FF000000"/>
            <rFont val="Tahoma"/>
            <family val="2"/>
          </rPr>
          <t xml:space="preserve">OAP:
</t>
        </r>
        <r>
          <rPr>
            <sz val="9"/>
            <color rgb="FF000000"/>
            <rFont val="Tahoma"/>
            <family val="2"/>
          </rPr>
          <t>SE DEBE SELECCIONAR EL LOGRO DE CIUDAD QUE CORRESPONDA DE LA LISTA DESPLEGABLE</t>
        </r>
      </text>
    </comment>
    <comment ref="M1" authorId="1" shapeId="0" xr:uid="{CA939EC2-275F-4DAF-9EE3-383EF087515F}">
      <text>
        <r>
          <rPr>
            <b/>
            <sz val="9"/>
            <color rgb="FF000000"/>
            <rFont val="Tahoma"/>
            <family val="2"/>
          </rPr>
          <t xml:space="preserve">OAP:
</t>
        </r>
        <r>
          <rPr>
            <sz val="9"/>
            <color rgb="FF000000"/>
            <rFont val="Tahoma"/>
            <family val="2"/>
          </rPr>
          <t xml:space="preserve">SE DEBE SELECCIONAR EL PROGRAMA QUE CORRESPONDA DE LA LISTA DESPLEGABLE
</t>
        </r>
      </text>
    </comment>
    <comment ref="N1" authorId="1" shapeId="0" xr:uid="{21F9B886-9397-425B-8E54-AE6F66226558}">
      <text>
        <r>
          <rPr>
            <b/>
            <sz val="9"/>
            <color rgb="FF000000"/>
            <rFont val="Tahoma"/>
            <family val="2"/>
          </rPr>
          <t xml:space="preserve">OAP:
</t>
        </r>
        <r>
          <rPr>
            <sz val="9"/>
            <color rgb="FF000000"/>
            <rFont val="Tahoma"/>
            <family val="2"/>
          </rPr>
          <t>SE DEBE SELECCIONAR EL PROGRAMA ESTRATÉGICO QUE CORRESPONDA DE LA LISTA DESPLEGABLE</t>
        </r>
      </text>
    </comment>
    <comment ref="O1" authorId="1" shapeId="0" xr:uid="{6B683F53-9B7D-4636-A142-6389BF30F1FE}">
      <text>
        <r>
          <rPr>
            <b/>
            <sz val="9"/>
            <color rgb="FF000000"/>
            <rFont val="Tahoma"/>
            <family val="2"/>
          </rPr>
          <t xml:space="preserve">OAP:
</t>
        </r>
        <r>
          <rPr>
            <sz val="9"/>
            <color rgb="FF000000"/>
            <rFont val="Tahoma"/>
            <family val="2"/>
          </rPr>
          <t>SE DEBE SELECCIONAR LA META PLAN DE DESARROLLO QUE CORRESPONDA DE LA LISTA DESPLEGABLE</t>
        </r>
      </text>
    </comment>
    <comment ref="Q1" authorId="1" shapeId="0" xr:uid="{00F174CC-878A-4B16-BCF3-0FFB0D1F23C7}">
      <text>
        <r>
          <rPr>
            <b/>
            <sz val="9"/>
            <color rgb="FF000000"/>
            <rFont val="Tahoma"/>
            <family val="2"/>
          </rPr>
          <t xml:space="preserve">OAP: </t>
        </r>
        <r>
          <rPr>
            <sz val="9"/>
            <color rgb="FF000000"/>
            <rFont val="Tahoma"/>
            <family val="2"/>
          </rPr>
          <t>ASIGNADO A CADA PROCESO</t>
        </r>
      </text>
    </comment>
    <comment ref="R1" authorId="0" shapeId="0" xr:uid="{EDC9857D-D6B9-4D45-95AE-AAF538342352}">
      <text>
        <r>
          <rPr>
            <b/>
            <sz val="9"/>
            <color indexed="81"/>
            <rFont val="Tahoma"/>
            <family val="2"/>
          </rPr>
          <t>PC:</t>
        </r>
        <r>
          <rPr>
            <sz val="9"/>
            <color indexed="81"/>
            <rFont val="Tahoma"/>
            <family val="2"/>
          </rPr>
          <t xml:space="preserve">
SE DEBE ACTUALIZAR CON LOS NUEVOS CONCEPTOS DE GASTO
- Codigo POSPRE</t>
        </r>
      </text>
    </comment>
    <comment ref="S1" authorId="0" shapeId="0" xr:uid="{26CF2331-350F-42C8-8953-C9D06EBCB08A}">
      <text>
        <r>
          <rPr>
            <b/>
            <sz val="9"/>
            <color rgb="FF000000"/>
            <rFont val="Tahoma"/>
            <family val="2"/>
          </rPr>
          <t>PC:</t>
        </r>
        <r>
          <rPr>
            <sz val="9"/>
            <color rgb="FF000000"/>
            <rFont val="Tahoma"/>
            <family val="2"/>
          </rPr>
          <t xml:space="preserve">
</t>
        </r>
        <r>
          <rPr>
            <sz val="9"/>
            <color rgb="FF000000"/>
            <rFont val="Tahoma"/>
            <family val="2"/>
          </rPr>
          <t xml:space="preserve">SE DEBE ACTUALIZAR CON LOS NUEVOS CONCEPTOS DE GASTO
</t>
        </r>
        <r>
          <rPr>
            <sz val="9"/>
            <color rgb="FF000000"/>
            <rFont val="Tahoma"/>
            <family val="2"/>
          </rPr>
          <t>Descripción POSPRE</t>
        </r>
      </text>
    </comment>
    <comment ref="V1" authorId="0" shapeId="0" xr:uid="{DF15D515-75E4-4067-A15B-2F6F26496CD5}">
      <text>
        <r>
          <rPr>
            <b/>
            <sz val="9"/>
            <color indexed="81"/>
            <rFont val="Tahoma"/>
            <family val="2"/>
          </rPr>
          <t>PC:</t>
        </r>
        <r>
          <rPr>
            <sz val="9"/>
            <color indexed="81"/>
            <rFont val="Tahoma"/>
            <family val="2"/>
          </rPr>
          <t xml:space="preserve">
MES EN NUMERO:
ENERO = 1
FEBRERO = 2….</t>
        </r>
      </text>
    </comment>
    <comment ref="W1" authorId="0" shapeId="0" xr:uid="{B044614F-E919-4BED-87A1-1355300669B7}">
      <text>
        <r>
          <rPr>
            <b/>
            <sz val="9"/>
            <color indexed="81"/>
            <rFont val="Tahoma"/>
            <family val="2"/>
          </rPr>
          <t>PC:</t>
        </r>
        <r>
          <rPr>
            <sz val="9"/>
            <color indexed="81"/>
            <rFont val="Tahoma"/>
            <family val="2"/>
          </rPr>
          <t xml:space="preserve">
MES EN NUMERO:
ENERO = 1
FEBRERO = 2….</t>
        </r>
      </text>
    </comment>
    <comment ref="X1" authorId="1" shapeId="0" xr:uid="{AF636A33-6E3C-4D23-8D73-3C8F787AC66B}">
      <text>
        <r>
          <rPr>
            <b/>
            <sz val="9"/>
            <color rgb="FF000000"/>
            <rFont val="Tahoma"/>
            <family val="2"/>
          </rPr>
          <t xml:space="preserve">OAP: </t>
        </r>
        <r>
          <rPr>
            <sz val="9"/>
            <color rgb="FF000000"/>
            <rFont val="Tahoma"/>
            <family val="2"/>
          </rPr>
          <t>AJUSTAR A NUMERO DE DIAS</t>
        </r>
      </text>
    </comment>
    <comment ref="AA1" authorId="1" shapeId="0" xr:uid="{710CC1D6-D608-41B3-94C0-3C4CF95E96A6}">
      <text>
        <r>
          <rPr>
            <b/>
            <sz val="9"/>
            <color rgb="FF000000"/>
            <rFont val="Tahoma"/>
            <family val="2"/>
          </rPr>
          <t xml:space="preserve">OAP: </t>
        </r>
        <r>
          <rPr>
            <sz val="9"/>
            <color rgb="FF000000"/>
            <rFont val="Tahoma"/>
            <family val="2"/>
          </rPr>
          <t xml:space="preserve">VALOR TOTAL DEL PROCESO POR EL % ASIGNADO POR META
</t>
        </r>
      </text>
    </comment>
    <comment ref="AB1" authorId="1" shapeId="0" xr:uid="{DDF2E65F-881E-45D3-8A92-4788EE3352D1}">
      <text>
        <r>
          <rPr>
            <b/>
            <sz val="9"/>
            <color rgb="FF000000"/>
            <rFont val="Tahoma"/>
            <family val="2"/>
          </rPr>
          <t xml:space="preserve">OAP: </t>
        </r>
        <r>
          <rPr>
            <sz val="9"/>
            <color rgb="FF000000"/>
            <rFont val="Tahoma"/>
            <family val="2"/>
          </rPr>
          <t xml:space="preserve">VALOR HONORARIO MENSUAL DEL PROCESO POR
</t>
        </r>
        <r>
          <rPr>
            <sz val="9"/>
            <color rgb="FF000000"/>
            <rFont val="Tahoma"/>
            <family val="2"/>
          </rPr>
          <t>EL % ASIGNADO POR META</t>
        </r>
      </text>
    </comment>
    <comment ref="S71" authorId="0" shapeId="0" xr:uid="{EF8994B4-DD9C-4EC7-9103-36240F4F6C5D}">
      <text>
        <r>
          <rPr>
            <b/>
            <sz val="9"/>
            <color indexed="81"/>
            <rFont val="Tahoma"/>
            <family val="2"/>
          </rPr>
          <t>PC:</t>
        </r>
        <r>
          <rPr>
            <sz val="9"/>
            <color indexed="81"/>
            <rFont val="Tahoma"/>
            <family val="2"/>
          </rPr>
          <t xml:space="preserve">
Deben revisar y ajustar el concepto de gasto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BC4" authorId="0" shapeId="0" xr:uid="{9F488FC6-60BE-4206-86B3-0A182B1448C9}">
      <text>
        <r>
          <rPr>
            <b/>
            <sz val="9"/>
            <color indexed="81"/>
            <rFont val="Tahoma"/>
            <family val="2"/>
          </rPr>
          <t>ANGELA MARCELA FORERO RUIZ:</t>
        </r>
        <r>
          <rPr>
            <sz val="9"/>
            <color indexed="81"/>
            <rFont val="Tahoma"/>
            <family val="2"/>
          </rPr>
          <t xml:space="preserve">
La reserva la tenías unicamente asociada a meta 1 $253.060.894</t>
        </r>
      </text>
    </comment>
    <comment ref="BE4" authorId="0" shapeId="0" xr:uid="{57C7D86D-9939-4335-B840-776EB3026797}">
      <text>
        <r>
          <rPr>
            <b/>
            <sz val="9"/>
            <color indexed="81"/>
            <rFont val="Tahoma"/>
            <family val="2"/>
          </rPr>
          <t>ANGELA MARCELA FORERO RUIZ:</t>
        </r>
        <r>
          <rPr>
            <sz val="9"/>
            <color indexed="81"/>
            <rFont val="Tahoma"/>
            <family val="2"/>
          </rPr>
          <t xml:space="preserve">
La reserva la tenías unicamente asociada a meta 1 $253.060.894</t>
        </r>
      </text>
    </comment>
  </commentList>
</comments>
</file>

<file path=xl/sharedStrings.xml><?xml version="1.0" encoding="utf-8"?>
<sst xmlns="http://schemas.openxmlformats.org/spreadsheetml/2006/main" count="3808" uniqueCount="1096">
  <si>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</si>
  <si>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</si>
  <si>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</si>
  <si>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</si>
  <si>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</si>
  <si>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</si>
  <si>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</si>
  <si>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</si>
  <si>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FECHA DE REPORTE</t>
  </si>
  <si>
    <t>TIPO DE REPORTE</t>
  </si>
  <si>
    <t>FORMULACION</t>
  </si>
  <si>
    <t>X</t>
  </si>
  <si>
    <t>ACTUALIZACION</t>
  </si>
  <si>
    <t>SEGUIMIENTO</t>
  </si>
  <si>
    <t>NOMBRE DEL PROYECTO</t>
  </si>
  <si>
    <t>7673 - Desarrollo de capacidades para aumentar la autonomía y empoderamiento de las mujeres en toda su diversidad en Bogotá</t>
  </si>
  <si>
    <t>PROPÓSITO</t>
  </si>
  <si>
    <t xml:space="preserve">1 - Hacer un nuevo contrato social con igualdad de oportunidades para la inclusión social, productiva y política </t>
  </si>
  <si>
    <t>LOGRO</t>
  </si>
  <si>
    <t>2 -  Reducir la pobreza monetaria, multidimensional y la feminización de la pobreza.</t>
  </si>
  <si>
    <t>PROGRAMA</t>
  </si>
  <si>
    <t>Igualdad de oportunidades y desarrollo de capacidades para las mujeres</t>
  </si>
  <si>
    <t>DESCRIPCIÓN DE LA META (ACTIVIDAD MGA)</t>
  </si>
  <si>
    <t>Formar 26100 mujeres en sus derechos a través de procesos de desarrollo de capacidades en el uso TIC</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</si>
  <si>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</si>
  <si>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</si>
  <si>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</si>
  <si>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</si>
  <si>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</si>
  <si>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</si>
  <si>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</si>
  <si>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</si>
  <si>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</si>
  <si>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</si>
  <si>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</si>
  <si>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</si>
  <si>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</si>
  <si>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</si>
  <si>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</si>
  <si>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</si>
  <si>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</si>
  <si>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</si>
  <si>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</si>
  <si>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</si>
  <si>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</si>
  <si>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</si>
  <si>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</si>
  <si>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</si>
  <si>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</si>
  <si>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</si>
  <si>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</si>
  <si>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</si>
  <si>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EXPLICACIÓN: Información correspondiente a reservas presupuestales.</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</si>
  <si>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</si>
  <si>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</si>
  <si>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</si>
  <si>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</si>
  <si>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</si>
  <si>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</si>
  <si>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</si>
  <si>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</si>
  <si>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Programación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</si>
  <si>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</si>
  <si>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</si>
  <si>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</si>
  <si>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</si>
  <si>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</si>
  <si>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</si>
  <si>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</si>
  <si>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</si>
  <si>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</si>
  <si>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</si>
  <si>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</si>
  <si>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</si>
  <si>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</si>
  <si>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</si>
  <si>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</si>
  <si>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</si>
  <si>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</si>
  <si>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</si>
  <si>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</si>
  <si>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</si>
  <si>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</si>
  <si>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</si>
  <si>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</si>
  <si>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Diseñar y /o actualizar cinco (5) contenidos  pedagógicos de formación: Uno (1) para modalidad presencial; uno (1) para modalidad virtual, y tres (3) de la plataforma Moodle</t>
  </si>
  <si>
    <t>2. Diseñar e implementar una (1) estrategia de convocatoria para asegurar la vinculación de mujeres a los procesos de formación presencial, virtual y de la plataforma Moodle</t>
  </si>
  <si>
    <t>3. Elaborar tres reportes mensuales de seguimiento a las mujeres formadas:
Uno (1) de los CID , uno de Moodle, uno de otros procesos de formación en el marco de la Gerencia de Formación</t>
  </si>
  <si>
    <t xml:space="preserve">4. Realizar cuatro (4) jornadas de reconocimiento a las mujeres formadas en los Centros de Inclusión Digital </t>
  </si>
  <si>
    <t>5. Adecuar la infraestructura técnológica de los Centros de Inclusión Digital, aportando a la inclusión del enfoque diferencial</t>
  </si>
  <si>
    <t>6. Actualizar una (1) memoria del proceso de formación durante la vigencia que recoja los aprendizajes cualitativos de las mujeres</t>
  </si>
  <si>
    <t>*Incluir tantas filas sean necesarias</t>
  </si>
  <si>
    <t>Diseñar 13 contenidos para el desarrollo de capacidades socioemocionales, técnicas y digitales de las mujeres, en toda su diversidad.</t>
  </si>
  <si>
    <t>7. Elaborar, desarrollar y virtualizar cuatro (4) contenidos para el desarrollo de capacidades socioemocionales, técnicas y digitales de las mujeres, en toda su diversidad</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</si>
  <si>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</si>
  <si>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Diseñar e implementar una (1) estrategía para el desarrollo de capacidades socioemocionales y técnicas de las mujeres en toda su diversidad para su emprendimiento y empleabilidad.</t>
  </si>
  <si>
    <t>Durante el mes de enero, se avanzó en las siguientes actividades:  ruta de divulgación por medio de cinco ferias comunitarias en Kennedy, Engativá en donde se orientaron a 154 mujeres en programas de empleo y formación para el trabajo. Asimismo se avanzó en la divulgación del Decreto 332 de 2020 el cuál permitirá definir pautas desde la SDMujer de inclusión laboral con enfoque de género. Adicionalmente se avanzó en la construcción de un directorio de actores claves por diseñar e implementar programas de generación de ingresos con enfoque de género para la reactivación económica. Se da inicio con la implementación del primer programa de generación de ingresos de la SDMujer dirigido a mujeres cuidadoras y se estructura una estrategia de alianzas con el sector privado y la cooperación para definir intervenciones que permitan cerrar brechas en el mercado laboral.</t>
  </si>
  <si>
    <t>Por medio de las líneas de la estrategia de emprendimiento y empleabilidad, se beneficiarán a las mujeres beneficiarias de la SDMujer en orientarlas acerca de programas de generación de ingresos y empleo, por medio de una línea normativa establecida en el Decreto 332 para reducir brechas de acceso en el mercado laboral y un modeo de interevención con el sector privado para promover la inclusión de mujeres en oportunidades laborales. En términos de generación de ingresos por medio de la estrategia se implementará por primera vez un programa de generación de ingresos para mujeres cuidadoras y a nivel distrital se avanza en orientar la inclusión del enfoque de género en programas de empleo y generación de ingresos.</t>
  </si>
  <si>
    <t>8. Implementar la ruta de divulgación y orientación para la formación y oferta de empleo y emprendimiento de mujeres diseñada en el marco de la estrategia de emprendimiento y empleabilidad.</t>
  </si>
  <si>
    <t>9. Gestionar y articular con el sector público y privado, acciones que contribuyan a la implementación del Decreto 332 del 29 de diciembre de 2020 "Por medio del cual se establecen medidas afirmativas para promover la participación de las mujeres en la Contratación del distritito Capital"</t>
  </si>
  <si>
    <t>10. Promover acciones que contribuyan a la generación de ingresos y empleo para las mujeres, conforme a la oferta de las diferentes entidades del distrito.</t>
  </si>
  <si>
    <t>11. Diseñar dos (2) programas que promuevan la autonomía económica de mujeres, en especial cuidadoras.</t>
  </si>
  <si>
    <t xml:space="preserve">12. Generar y desarrollar alianzas estratégicas que contribuyan a la implementación de la estrategia de emprendimiento y empleabilidad. </t>
  </si>
  <si>
    <t>Durante el mes de enero se adelantaron las siguientes gestiones con el fin de promover alianzas que contribuyan a la implementación de la estrategia de emprendimiento y empleabilidad.
1. Reunión interna entre los  equipos de E&amp;E y de Alianzas Estratégicas para  afinar la estrategia para promover la empleabilidad de  mujeres con el sector privado. 25.01.22
2. Seguimiento articulación con Coca- Cola  18.01.22
3.  Presentación a la secretaria Rodríguez del estado de las alianzas con el sector privado, definición de acciones estratégicas en esa área para el 2022. 31.01.22</t>
  </si>
  <si>
    <t>DESCRIPCIÓN DE LA ACTIVIDAD</t>
  </si>
  <si>
    <t xml:space="preserve">Diseñar e Implementar 1 programa piloto para promover la autonomía económica de las mujeres cuidadoras en el marco de la estrategia de emprendimiento y empleabilidad de la SDMujer </t>
  </si>
  <si>
    <t xml:space="preserve">Diseñar e implementar un (1) programa piloto para promover la autonomía económica de las mujeres cuidadoras en el marco de la estrategia de emprendimiento y empleabilidad de la SDMujer.  </t>
  </si>
  <si>
    <t>Para el mes de enero se reportan como logros la firma de convenio de cooperación y la definición de la estructura en el manual operativo de la convocatoria y los términos de referencia, así como la definición del lanzamiento del programa para el día 8 e marzo</t>
  </si>
  <si>
    <t>Para el mes de enero no se reportan retrazos según lo programado.</t>
  </si>
  <si>
    <t>El haber establecido una alianza con las Naciones Unidas para la ejecución del primer programa de generación de ingresos para mujeres cuidadoras permitirá beneficiar a 300 mujeres cuidadoras asociadas en organizaciones productivas  en lo siguiente:  un proceso de fortalecimiento que cuenta con flexibilidad horaria para tener acceso a una mentoría personalizada estructurada por un pool de expertos para fortalecer sus capacidades empresariales en capacidades de acceso a mercados, capacidades organizativas, estructuración de estrategias de acceso a mercados y de formulación y presentación de proyectos para los fondos de desarrollo local o recursos de terceros.</t>
  </si>
  <si>
    <t xml:space="preserve">13. Estructurar los insumos técnicos del programa para el componente de seguimiento y monitoreo </t>
  </si>
  <si>
    <t>Para el mes de enero se estructuran en borrador:  el Manual Operativo del programa, los términos de referencia de la convocatoria, el formulario de inscripción de la convocatoria y una propuesta de documento detallada. Insumos que se aprobarán en febrero en el primer comité técnico. No se identifican alertas relacionadas.  Se remiten como evidencias el documento borrador del manual operativo, el documento borrador de los términos de referencia, el documento borrador del formulario de inscripción y una propuesta borrador de presupuesto detallado.</t>
  </si>
  <si>
    <t>14. Diseñar e implementar el proceso de convocatoria con el fin de alcanzar la meta poblacional propuesta en el piloto y levantar una línea base de organizaciones productiva de mujeres cuidadoras asociadas</t>
  </si>
  <si>
    <t>En enero se da inicio a la estructuración de los términos de referencia de la convocatoria y al formulario de inscripción. Asimismo en el borrador del manual operativo se estructura la convocatoria y la estrategia de divulgación del programa. Se identifica como alerta la necesidad de establecer un plan de trabajo con el equipo de comunicaciones para desarrollar el pilotaje de la convocatoria, los copies, intensidad de la divulgación, piezas de comunicaciones a fin de poder lanzar la convocatoria del programa en el marco del 8 de marzo, según lo establecido por despacho. Se remite como evidencia el documento borrador de los términos de referencia y del formulario de inscripción.</t>
  </si>
  <si>
    <t>15. Realizar seguimiento al cumplimiento de las horas de formación y mentoría personalizada y las acciones definidas en los planes de fortalecimiento organizativo de las organizaciones productivas de mujeres cuidadoras asociadas beneficiarias del piloto.</t>
  </si>
  <si>
    <t>Para el mes de enero no se reportan actividades puesto que el seguimiento a las horas de formación y mentoría se realizará en la fase de implementación del programa aproximadamente para el mes de abril.</t>
  </si>
  <si>
    <t>16. Supervisar el cumplimiento de los objetivos propuestos en el piloto.</t>
  </si>
  <si>
    <t>Para el mes de enero se da cuenta de la firma del convenio de cooepración con el Programa de las Naciones Unidas para el Desarrollo el día 22 y se deja constancia que para el cierre del mes de febrero se realizará el primer informe de supervisión del cumplimiento de los objetivos propuestos en el piloto. Se remiten como evidencias los documentos contractuales del convenio.</t>
  </si>
  <si>
    <t>En porcentaje de avance</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</si>
  <si>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</si>
  <si>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</si>
  <si>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</si>
  <si>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</si>
  <si>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</si>
  <si>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</si>
  <si>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</si>
  <si>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</si>
  <si>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</si>
  <si>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</si>
  <si>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</si>
  <si>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</si>
  <si>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</si>
  <si>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</si>
  <si>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</si>
  <si>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</si>
  <si>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</si>
  <si>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</si>
  <si>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</si>
  <si>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 xml:space="preserve">Igualdad de oportunidades y desarrollo de capacidades para las mujeres </t>
  </si>
  <si>
    <t>OBJETIVO ESTRATEGICO:</t>
  </si>
  <si>
    <t>Contribuir a la reducción de la feminización de la pobreza, al desarrollo de capacidades y al empoderamiento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</si>
  <si>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</si>
  <si>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</si>
  <si>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</si>
  <si>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</si>
  <si>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</si>
  <si>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</si>
  <si>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</si>
  <si>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</si>
  <si>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</si>
  <si>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</si>
  <si>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</si>
  <si>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</si>
  <si>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</si>
  <si>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</si>
  <si>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</si>
  <si>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</si>
  <si>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</si>
  <si>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</si>
  <si>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</si>
  <si>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</si>
  <si>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</si>
  <si>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</si>
  <si>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</si>
  <si>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Aumentar en un 30% el número de mujeres formadas en los centros de inclusión digital.</t>
  </si>
  <si>
    <t>Número de mujeres formadas en los Centros de Inclusión Digital</t>
  </si>
  <si>
    <t>Suma</t>
  </si>
  <si>
    <t>Mujeres Formadas</t>
  </si>
  <si>
    <t>Sumatoria de mujeres formadas en los Centros de Inclusión Digital</t>
  </si>
  <si>
    <t>Mensual</t>
  </si>
  <si>
    <t>Base de mujeres formadas e incluidas en el SIMISIONAL</t>
  </si>
  <si>
    <t>Diseñar y acompañar la estrategia de emprendimiento y empleabilidad para la autonomía económica de
las mujeres</t>
  </si>
  <si>
    <t>Porcentaje de avance en el diseño y acompañamiento de la estrategia de emprendimiento y empleabilidad para la autonomía económica de las mujeres</t>
  </si>
  <si>
    <t>Porcentaje de avance</t>
  </si>
  <si>
    <t xml:space="preserve">Sumatoria </t>
  </si>
  <si>
    <t>Soportes plan de acción meta 3</t>
  </si>
  <si>
    <t xml:space="preserve">42.Número de contenidos diseñados para el desarrollo de capacidades socioemocionales, ocupacionales, técnicas y educación financiera para las mujeres (Módulos y diplomados) </t>
  </si>
  <si>
    <t>Contenidos diseñados</t>
  </si>
  <si>
    <t>Sumatoria de los contenidos diseñados</t>
  </si>
  <si>
    <t>Contenidos publicados en página web de la SDMujer</t>
  </si>
  <si>
    <t>Diseñar e implementar una (1) Estrategía para el Desarrollo De Capacidades Sociomecionales Y Técnicas de las Mujeres en toda su Diversidad para su Emprendimiento y Empleabilidad.</t>
  </si>
  <si>
    <t>Número de registros en la Ruta de  Divulgación y Orientación.</t>
  </si>
  <si>
    <t>N/A</t>
  </si>
  <si>
    <t>Registros</t>
  </si>
  <si>
    <t>Registros realizados</t>
  </si>
  <si>
    <t>Número de mujeres orientadas a través de la Ruta de Divulgación y Orientación.</t>
  </si>
  <si>
    <t>Mujeres orientadas</t>
  </si>
  <si>
    <t>Orientaciones realizadas</t>
  </si>
  <si>
    <t>Número de informes consolidados, elaborados a partir de los reportes enviados por las entidades y organismos Distrital en cumplimiento del Decreto 332/2020.</t>
  </si>
  <si>
    <t>Informes consolidados</t>
  </si>
  <si>
    <t>Sumatoria</t>
  </si>
  <si>
    <t>Semestral</t>
  </si>
  <si>
    <t>Reportes realizados</t>
  </si>
  <si>
    <t>Número de propuestas de programas enfocados a la disminución de brecha económica entre hombres y mujeres</t>
  </si>
  <si>
    <t>Propuestas diseñadas</t>
  </si>
  <si>
    <t>Sumatoria de  programas diseñados enfocados a disminuir la brecha económica entre hombres y mujeres</t>
  </si>
  <si>
    <t>Documentos de propuestas de programas enfocados a la disminución de brecha económica entre hombres y mujeres</t>
  </si>
  <si>
    <t>Número de informes del programa piloto, que den cuenta del avance mensual cumplimiento de los objetivos planteados en el programa y de las actividades definidas en el plan de trabajo del programa, actas del comité técnico que den cuenta del seguimiento a los objetivos del piloto.</t>
  </si>
  <si>
    <t>Un programa piloto implementado correspondiente al 100% del cumplimiento de la meta</t>
  </si>
  <si>
    <t>Trimestral</t>
  </si>
  <si>
    <t>Informes de supervisión trimestrales y actas del comité técnico</t>
  </si>
  <si>
    <t>a</t>
  </si>
  <si>
    <t>Documento técnico el comité técnico del programa que incluye: i) guía operativa del programa, ii) bases de datos para la convocatoria, iii) términos de referencia de la convocatoria, iv) piezas de la convocatoria, v) términos de referencia de los contratos de los pool de mentores y asesores psicosociales, vi)  Plan de trabajo detallado correspondiente a la duración total del programa</t>
  </si>
  <si>
    <t>Constante</t>
  </si>
  <si>
    <t>Documento técnico</t>
  </si>
  <si>
    <t>Un paquete de documentos para el comité técnico desarrollados correspondiente al 100% de cumplimiento de la actividad de estructurar los insumos técnicos del programa para el componente de seguimiento y monitoreo</t>
  </si>
  <si>
    <t>Anual</t>
  </si>
  <si>
    <t>Paquete de documentos técnicos para el cimité técnico del programa piloto  que incluye: i) guía operativa del programa, ii) bases de datos para la convocatoria, iii) términos de referencia de la convocatoria, iv) piezas de la convocatoria, v) términos de referencia de los contratos de los pool de mentores y asesores psicosociales, vi) Diseño y seguimiento al Plan de trabajo detallado correspondiente a la duración total del programa</t>
  </si>
  <si>
    <t>Documento técnico fortalecimiento organizativo elaborado.</t>
  </si>
  <si>
    <t>Un documento que de cuenta de las herramientas de fortalecimiento organizativo, mentoría personalziada, de formación y acompañamiento perdagógico implemetnadas correspondiente al 100% del cumplimiento de los componentes 1 y 2 del programa</t>
  </si>
  <si>
    <t>Un documento de reporte al proceso de fortalecimiento organizativo, mentoría personalizada, formación y acompañamiento psicosocial</t>
  </si>
  <si>
    <t>Documento proceso de convocatoria elaborado.</t>
  </si>
  <si>
    <t>Documento</t>
  </si>
  <si>
    <t xml:space="preserve">Un documento que da cuenta del proceso de la convocatoria, registro, verificación de los términos de referencia, selección de las beneficiarias correspondiente al 100% del cumplimiento de la actividad de diseño e implementación de la convocatoria del piloto </t>
  </si>
  <si>
    <t>Un documento de reporte al proceso de convocatoria, registrio, verificación de requisitos y selección.</t>
  </si>
  <si>
    <t>Desarrollo de Capacidades</t>
  </si>
  <si>
    <t>Formar 26.100 mujeres en sus derechos a través de procesos de desarrollo de capacidades en el uso TIC</t>
  </si>
  <si>
    <t>Porcentaje de avance en la divulgación de la oferta de formación</t>
  </si>
  <si>
    <t>Divulgación de la gratuidad de la oferta de formación de la Dirección de gestión del conocimiento</t>
  </si>
  <si>
    <t>Piezas comunicativas</t>
  </si>
  <si>
    <t>Diseñar 13 contenidos para el desarrollo de capacidades socioemocionales, técnicas y digitales de las mujeres, en toda su diversidad</t>
  </si>
  <si>
    <t>Porcentaje de avance en la estructuración del proceso contractual (Convenios/Contratos)</t>
  </si>
  <si>
    <t xml:space="preserve">Convenios/contratos realizados para la elaboración de los contenidos </t>
  </si>
  <si>
    <t>Actas y listados de asistencia
Documento de formalización del contrato o convenio (minuta, documentos del proceso)</t>
  </si>
  <si>
    <t xml:space="preserve">Diseñar e implementar 1 estrategia para el desarrollo de capacidades socioemocionales y técnicas de las mujeres en toda su diversidad para su emprendimiento y empleabilidad.  </t>
  </si>
  <si>
    <t>Informe de alianzas realizadas</t>
  </si>
  <si>
    <t>Informe realizado</t>
  </si>
  <si>
    <t>Implementación, formalización y continuidad de los procesos realizados con la gestión de alianzas nacionales, internacionales, públicos y privados mediante la articulación de las dependencias competentes en cada caso y la interlocución con los aliados</t>
  </si>
  <si>
    <t>Actas y listados de asistencia
Documento de formalización de la alianza (memorando, acuerdo, etc)</t>
  </si>
  <si>
    <t xml:space="preserve">En el mes de enero se gestionaron  alianzas con 10 actores nacionales, internacionales, públicos y privados con el fin de favorecer iniciativas asociadas a la Política Pública de Mujeres y Equidad de Género del Distrito Capital. 
I. 5 gestiones con aliados derivaron en acciones concretas: 
1. ONU Mujeres. Gestiones revisión primer informe de ONU Mujeres Convenio 819 de 2021 y envío del  primer informe contable del Convenio  14.01.22
2. ACNUR. Gestiones para asegurar el diligenciamiento del Anexo A - Metas trimestrales del “Proyecto Empoderando Mujeres Refugiadas y Migrantes en el D.C.”  (20, 21 y 31 de enero) y articulación interna inducción nuevo equipo del SIDICU (24.01.22)
3. Centro Carter. Bogotá fue anunciada por el Centro Carter como una de las 12 ciudades de todo el mundo para beneficiarse de su apoyo con su campaña ‘Informando a las Mujeres, Transformando Vidas’ 20.01.22
4. Save the Children. En el marco del Memorando de Entendimiento firmado con esta organización, se logró la adecuación de una sala de lactancia materna en Casa de Todas, seguimiento articulación. 27 y 29 de enero de 2022. 
5. BID.  Gestiones para apoyar el proceso que hace el cooperante para la contratación de la firma ejecutora para la implementación del piloto en la Manzana de Cuidado de Los Mártires para Mujeres Migrantes y locales Cuidadoras con el fin de.  18, 19 y 26 de enero de 2022. 
Anexos
1. Correos informe gestión, evidencia reunión ONU Mujeres, correo informe contable, informe contable, oficio remisorio informe contable.
2. Anexo A ACNUR, Indicadores Anexo A, evidencia reunión equipo SIDICU Anexo A, correos gestiones Anexo A, correo envío ACNUR ANEXO A, evidencia reunión empalme equipo SIDICU, evidencia reunión ACNUR.
3. Correo Centro Carter, evidencia redes, agenda anuncio. 
4. Correos seguimiento, evidencia redes adecuación sala de lactancia. 
5. Evidencia reunión BID, Correo seguimiento BID, Términos de Referencia, Correo Respuesta solicitudes de aclaración, documento respuesta aclaraciones.
II. 5 gestiones realizadas con aliados durante el periodo que aún no cuentan con un resultado específico: 
1. Fundación Sésamo.  Gestiones para apoyar la firma de memorando de entendimiento con Fundación Sésamo con el fin de implementar el proyecto “Soluciones digitales para facilitar el acceso a recursos de aprendizaje para la niñez migrante en Colombia” 17, 18 y 27 de enero 2022 
2. Bloom. Reunión con esta organización, con el fin de explorar alternativas de articulación para la Estrategia de Cuidado Menstrual. 24.01.22
3.Barcelona Time Use Iniciative (BTUI). Gestiones para unirse a la Red Gobiernos de Ciudades y Regiones para las políticas del tiempo (18.01.22), evaluar la posible adhesión de Bogotá a la Declaración de Barcelona uso del Tiempo (27.01.22) y  diligenciamiento de formulario de BTUI para que el Sistema Distrital de Cuidado haga parte de un dosier de buenas prácticas sobre “life balance: care, work and personal time" (28.01.22).
4. Provincia de Maipú- Chile.  Reunión entre la Provincia de Maipú, Chile y la Directora del Sistema Distrital de Cuidado en la que se solicitó asistencia técnica para el fortalecimiento de la entidad chilena su trabajo en materia de cuidado (19.02.22)
5. CHANGE: Reunión con CHANGE (City Hub and Network for Gender Equality) con el fin de evaluar posibilidades de adhesión a esa red de ciudades (20.01.22). Presentación del Sistema Distrital de Cuidado por parte de la Secretaria Rodríguez a las ciudades miembro de CHANGE: Los Ángeles, Barcelona, Buenos Aires, Ciudad de México, Londres y Freetown. (25.01.22)
Anexos
1. Correos gestiones firma Memorando, Borrador Memorando.
2. Evidencia reunión
3.Correos, Evidencia envío formulario, documento formulario, declaración.
4.Evidencia reunión, correo seguimiento.
5. Evidencia reuniones, Presentación Power Point, Correos seguimiento. 
</t>
  </si>
  <si>
    <t>ELABORÓ</t>
  </si>
  <si>
    <t>Firma:</t>
  </si>
  <si>
    <t>APROBÓ (Según aplique Gerenta de proyecto, Lider técnica y responsable de proceso)</t>
  </si>
  <si>
    <t>REVISÓ OFICINA ASESORA DE PLANEACIÓN</t>
  </si>
  <si>
    <t xml:space="preserve">VoBo. </t>
  </si>
  <si>
    <t>Nombre:</t>
  </si>
  <si>
    <t xml:space="preserve">Nombre: Andrea Ramírez Pisco </t>
  </si>
  <si>
    <t>Nombre: Diana María Parra Romero</t>
  </si>
  <si>
    <t xml:space="preserve">Cargo: </t>
  </si>
  <si>
    <t xml:space="preserve">Cargo: Directora de gestión del conocimiento (M1) </t>
  </si>
  <si>
    <t>Cargo: Subsecretaria del Cuidado y Políticas de Igualdad (M2,M3,M4)</t>
  </si>
  <si>
    <t>Cargo: Jefa Oficina Asesora de Planeación</t>
  </si>
  <si>
    <t xml:space="preserve">FORMULACIÓN Y SEGUIMIENTO PLAN DE ACCIÓN </t>
  </si>
  <si>
    <t>ANEXO - TERRITORIALIZACIÓN</t>
  </si>
  <si>
    <t>Página 3 de 3</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</si>
  <si>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</si>
  <si>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</si>
  <si>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</si>
  <si>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</si>
  <si>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</si>
  <si>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</si>
  <si>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</si>
  <si>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</si>
  <si>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</si>
  <si>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</si>
  <si>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</si>
  <si>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</si>
  <si>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</si>
  <si>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</si>
  <si>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</si>
  <si>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</si>
  <si>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</si>
  <si>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</si>
  <si>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</si>
  <si>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</si>
  <si>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</si>
  <si>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</si>
  <si>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</si>
  <si>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</si>
  <si>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</si>
  <si>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</si>
  <si>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</si>
  <si>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</si>
  <si>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</si>
  <si>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</si>
  <si>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</si>
  <si>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</si>
  <si>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</si>
  <si>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</si>
  <si>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</si>
  <si>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</si>
  <si>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</si>
  <si>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</si>
  <si>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</si>
  <si>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</si>
  <si>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</si>
  <si>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</si>
  <si>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</si>
  <si>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Asignación recursos</t>
  </si>
  <si>
    <t>Proyecto</t>
  </si>
  <si>
    <t>Número de meta</t>
  </si>
  <si>
    <t xml:space="preserve">Nombre proyecto / Meta proyecto de inversión </t>
  </si>
  <si>
    <t>Total cuatrienio</t>
  </si>
  <si>
    <t>Ponderación ppto</t>
  </si>
  <si>
    <t>Ponderación definida por el proyecto</t>
  </si>
  <si>
    <t>Meta 1. Formar 26100 Mujeres En Sus Derechos A Través De Procesos De Desarrollo De Capacidades En El Uso Tic.</t>
  </si>
  <si>
    <t>Meta 2. Diseñar 13 Contenidos Para El Desarrollo De Capacidades Socioemocionales, Técnicas Y Digitales De Las Mujeres, En Toda Su Diversidad</t>
  </si>
  <si>
    <t>Meta 3. Diseñar E Implementar 1 Estrategía Para El Desarrollo De Capacidades Sociomecionales Y Técnicas De Las Mujeres En Toda Su Diversidad Para Su Emprendimiento Y Empleabilidad.</t>
  </si>
  <si>
    <t xml:space="preserve">Meta 4. Diseñar e Implementar 1 programa piloto para promover la autonomía económica de las mujeres cuidadoras en el marco de la estrategia de emprendimiento y empleabilidad de la SDMujer  </t>
  </si>
  <si>
    <t>PROGRAMACION</t>
  </si>
  <si>
    <t>VALIDACION</t>
  </si>
  <si>
    <t>Fecha de Correo</t>
  </si>
  <si>
    <t>Programacion</t>
  </si>
  <si>
    <t>PAABS</t>
  </si>
  <si>
    <t>Consecutivo preliminar PAABS</t>
  </si>
  <si>
    <t>Consecutivo DEFINITIVO PAABS V1 - 2022</t>
  </si>
  <si>
    <t>No. Proyecto</t>
  </si>
  <si>
    <t>Nombre Proyecto</t>
  </si>
  <si>
    <t>Tipo de Proceso</t>
  </si>
  <si>
    <t>Insumo MGA</t>
  </si>
  <si>
    <t xml:space="preserve">Proposito </t>
  </si>
  <si>
    <t xml:space="preserve">Logro de ciudad </t>
  </si>
  <si>
    <t>Programa</t>
  </si>
  <si>
    <t>Programa estrategico</t>
  </si>
  <si>
    <t xml:space="preserve">Meta Plan de Desarrollo </t>
  </si>
  <si>
    <t xml:space="preserve">Meta proyecto de inversión </t>
  </si>
  <si>
    <t xml:space="preserve"> % Distribución Presupuestal a la meta proyecto de inversión</t>
  </si>
  <si>
    <t>Código componente de gasto</t>
  </si>
  <si>
    <t xml:space="preserve">Descripción componente de Gasto </t>
  </si>
  <si>
    <t>Códigos UNSPSC</t>
  </si>
  <si>
    <t>Descripción proceso</t>
  </si>
  <si>
    <t>Fecha estimada de inicio de proceso de selección</t>
  </si>
  <si>
    <t>Fecha estimada de presentación de ofertas</t>
  </si>
  <si>
    <t>Duración estimada del contrato</t>
  </si>
  <si>
    <t xml:space="preserve">Modalidad de selección </t>
  </si>
  <si>
    <t>Fuente de los recursos</t>
  </si>
  <si>
    <t xml:space="preserve">Valor total estimado </t>
  </si>
  <si>
    <t xml:space="preserve">Valor honorarios mensuales </t>
  </si>
  <si>
    <t>Justificación de la necesidad a contratar</t>
  </si>
  <si>
    <t xml:space="preserve">Área responsable de realizar la contratación </t>
  </si>
  <si>
    <t>Feb</t>
  </si>
  <si>
    <t>Mar</t>
  </si>
  <si>
    <t>Abril</t>
  </si>
  <si>
    <t>May</t>
  </si>
  <si>
    <t>Jun</t>
  </si>
  <si>
    <t>Jul</t>
  </si>
  <si>
    <t>Ago</t>
  </si>
  <si>
    <t>Sep</t>
  </si>
  <si>
    <t>Oct</t>
  </si>
  <si>
    <t>Nov</t>
  </si>
  <si>
    <t>Dic</t>
  </si>
  <si>
    <t>Cta x pagar</t>
  </si>
  <si>
    <t>Total</t>
  </si>
  <si>
    <t>M1</t>
  </si>
  <si>
    <t>M2</t>
  </si>
  <si>
    <t>M3</t>
  </si>
  <si>
    <t>M4</t>
  </si>
  <si>
    <t>miércoles 25/08/2021 10:18 p. m.</t>
  </si>
  <si>
    <t>SI</t>
  </si>
  <si>
    <t>Desarrollo de capacidades para aumentar la autonomía y empoderamiento de las mujeres en toda su diversidad en Bogotá</t>
  </si>
  <si>
    <t>PRESTACION DE SERVICIOS</t>
  </si>
  <si>
    <t>Mano de obra calificada</t>
  </si>
  <si>
    <t>3. Igualdad de oportunidades y desarrollo de capacidades para las mujeres</t>
  </si>
  <si>
    <t>1. Hacer un nuevo contrato social con igualdad de oportunidades para la inclusión social, productiva y política.</t>
  </si>
  <si>
    <t>2. Reducir la pobreza monetaria, multidimensional y la feminización de la pobreza.</t>
  </si>
  <si>
    <t xml:space="preserve">2. Igualdad de oportunidades y desarrollo de capacidades para las mujeres </t>
  </si>
  <si>
    <t>1. Oportunidades de educación, salud y cultura para mujeres, jóvenes, niños, niñas y adolescentes</t>
  </si>
  <si>
    <t>9. Aumentar en un 30% el número de mujeres formadas en los centros de inclusión digital</t>
  </si>
  <si>
    <t>M1. Formar 26.100 mujeres en sus derechos a través de procesos de desarrollo de capacidades en el uso TIC</t>
  </si>
  <si>
    <t>O232020200991114</t>
  </si>
  <si>
    <t>Servicios de planificación económica, social y estadística de la administración publica</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</si>
  <si>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t>
  </si>
  <si>
    <t>CCE-16 - Contratación directa.</t>
  </si>
  <si>
    <t>1-100-F001 - VA-Recursos distrito</t>
  </si>
  <si>
    <t>Se hace necesaria la contratación de dos profesionales que formulen y actualicen los lineamientos de formación, procedimientos de carácter estratégico y actividades que permitan la planeación, implementación, seguimiento y sostenibilidad de las líneas de trabajo definidas y asociadas a la formación en derechos de las mujeres a través de las TIC, TAC y TEP. Así como la propuesta de modelos pedagógicos que propongan formas innovadoras de llevar e intercambiar conocimientos a niñas, adolescentes y jóvenes y que a futuro permita mostrar otras opciones para la construcción de sus proyectos de vida.</t>
  </si>
  <si>
    <t>Dirección de Gestión del Conocimiento</t>
  </si>
  <si>
    <t xml:space="preserve">Prestar servicios profesionales a la Dirección de Gestión del Conocimiento en la formulación, actualización, seguimiento de lineamientos de formación y estrategias pedagógicas orientadas al fortalecimiento de derechos de las mujeres, sus capacidades y habilidades. </t>
  </si>
  <si>
    <t>Se hace necesaria la contratación de dos profesionales que formulen y actualicen los lineamientos de formación, procedimientos de carácter estratégico y actividades que permitan la planeación, implementación, seguimiento y sostenibilidad de las líneas de trabajo definidas y asociadas a la formación en derechos de las mujeres para el fortalecimiento de sus capacidades y habilidades.</t>
  </si>
  <si>
    <t>O232020200883132</t>
  </si>
  <si>
    <t>Servicios de soporte en tecnologías de la información (TI)</t>
  </si>
  <si>
    <t>Prestar servicios profesionales a la Dirección de Gestión del Conocimiento participando en la elaboración y puesta en marcha de contenidos virtuales relacionados con los derechos de las mujeres mediante el uso de herramientas TIC, TAC y TEP.</t>
  </si>
  <si>
    <t>Los procesos de formación a través de herramientas TIC requieren de una persona que elabore los contenidos para que las mujeres participantes se apropien de sus derechos, a través del uso de medios digitales para acceder a información que les permita el desarrollo de capacidades para su autonomía. 
Es necesario que los procesos de formación se ofrezcan en una plataforma web para facilitar el acceso de las mujeres. Así mismo, incorporar elementos gráficos, amigables y con entornos de aprendizaje adecuados para el desarrollo de los mismos.</t>
  </si>
  <si>
    <t>Prestar servicios profesionales a la Dirección de Gestión del Conocimiento para apoyar la orientación estratégica, seguimiento y articulación intra e interinstitucional de la estrategia Centros de Inclusión Digital; así como en la formulación y seguimiento de los instrumentos de planeación de la dependencia.</t>
  </si>
  <si>
    <t xml:space="preserve">La Dirección de Gestión del Conocimiento requiere un profesional que realice articulación de las actividades adelantadas por la estrategia de CID con los lineamientos que definan la Subsecretaría de Políticas de Igualdad (en calidad de Gerenta del proyecto) y la Dirección de Gestión del Conocimiento (en calidad de líder técnico del componente CID); así mismo, realizará interlocución con otras entidades para la coordinación de acciones conjuntas. También apoyará la formulación y seguimiento de instrumentos de planeación a cargo de la DGC. </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</si>
  <si>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t>
  </si>
  <si>
    <t xml:space="preserve">Las acciones de formación a través del uso de tecnologías de información y comunicaciones en la dimensión territorial requieren del desarrollo de procesos de monitoreo y seguimiento, dando cuenta de las particularidades, avances y aprendizajes en los Centros de Inclusión Digital, así como de ejercicios de reflexión y aprendizaje conducentes a la mejora continua de dichas acciones de formación orientadas por el equipo de facilitación. Así mismo, esta profesional debe dar cuenta del correcto funcionamiento de los Centros de Inclusión Digital en territorio. </t>
  </si>
  <si>
    <t>O232020200992913</t>
  </si>
  <si>
    <t>Servicios de educación para la formación y el trabajo</t>
  </si>
  <si>
    <t>Apoyar a la Dirección de Gestión del Conocimiento en la implementación de los procesos formativos asociados a temas de derechos de las mujeres mediante el uso de herramientas TIC, TAC y TEP.</t>
  </si>
  <si>
    <t xml:space="preserve">La implementación de los procesos formativos a través del uso de TIC, requiere del apoyo de personas que faciliten las acciones de aprendizaje con la ciudadanía, buscando el desarrollo de capacidades de las mujeres, tanto en escenarios virtuales como de acompañamiento en los Centros de Inclusión Digital, entendiendo estos últimos como escenarios físicos no estáticos, sino que recogen la oferta tecnológica presente en las localidades y que son de fácil acceso a la ciudadanía. </t>
  </si>
  <si>
    <t>Apoyar a la Dirección de Gestión del Conocimiento en la implementación de los procesos formativos asociados a temas de derechos de las mujeres así como el desarrollo de sus capacidades y habilidades.</t>
  </si>
  <si>
    <t xml:space="preserve">La implementación de los procesos formativos asociados a temas de derechos de las mujeres así como el desarrollo de sus capacidades y habilidades, requiere del apoyo de personas que faciliten las acciones de aprendizaje con la ciudadanía, buscando el desarrollo de capacidades de las mujeres, en espacios disponibles en el territorio y que son de fácil acceso a la ciudadanía. </t>
  </si>
  <si>
    <t>10. Diseñar y acompañar la estrategia de emprendimiento y empleabilidad para la autonomía económica de las mujeres</t>
  </si>
  <si>
    <t xml:space="preserve">M3. Diseñar e implementar 1 estrategia para el desarrollo de capacidades socioemocionales y técnicas de las mujeres en toda su diversidad para su emprendimiento y empleabilidad.  </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</si>
  <si>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t>
  </si>
  <si>
    <t xml:space="preserve">Aumenta la urgencia de garantizar ingresos para las mujeres, que históricamente han enfrentado barreras para vincularse al mercado laboral y se han visto particularmente afectadas por la actual emergencia dado el carácter parcial e informal de la mayoría de las actividades económicas en las que solían desempeñarse.
Teniendo en cuenta lo anterior, la Secretaría Distrital de la Mujer requiere contar con los servicios profesionales especializados para continuar con las acciones de implementación, formalización y continuidad de los procesos relacionados con la gestión de alianzas con actores nacionales, internacionales, públicos y privados mediante la articulación de las dependencias competentes en cada caso y la interlocución con los aliados. Lo anterior, en virtud de un enfoque de corresponsabilidad, donde estos últimos son contrapartes esenciales para apoyar técnica y financieramente el diseño e implementación de la estrategia para el desarrollo de capacidades socioemocionales y técnicas de las mujeres en toda su diversidad para su emprendimiento y empleabilidad cuyo fin último es aportar a la reducción de la pobreza de las mujeres en Bogotá. 
</t>
  </si>
  <si>
    <t>Subsecretaría de Políticas de Igualdad</t>
  </si>
  <si>
    <t>Prestar servicios profesionales para apoyar la implementación de alianzas estratégicas con actores diversos, que le permitan, faciliten y apoyen a la Secretaría Distrital de la Mujer el cumplimiento de los logros correspondientes al sector mujeres.</t>
  </si>
  <si>
    <t>Se considera necesaria la contratación de los servicios profesionales especializados de una persona que apoye las gestiones para implementar y hacer seguimiento a iniciativas en materia de alianzas y cooperación técnica y financiera, nacional e internacional, pública y privada. Dichas alianzas están abocadas a desarrollar acciones concretas para fortalecer la autonomía económica de las mujeres de Bogotá y potenciar sus capacidades socioemocionales y técnicas, como elementos necesarios para mejorar sus condiciones de vida y potenciar su liderazgo dentro de sus comunidades. Lo anterior, con el fin de responder a las profundas brechas de género existentes en el mercado laboral y empresarial de la ciudad, las cuales siguen limitando el acceso de las mujeres a oportunidades de empleabilidad y emprendimiento.</t>
  </si>
  <si>
    <t>Prestar servicios profesionales para coordinar la implementación de la estrategia de empleo y emprendimiento de la Secretaría Distrital de la Mujer, así como apoyar la articulación de esta con los diferentes actores públicos y privados.</t>
  </si>
  <si>
    <t>Se requiere de los servicios profesionales de una persona que apoye la definición de la estrategia y que acompañe la elaboración e implementación de esta, apoyando la coordinación de acciones al interior del equipo el cual para la vigencia 2022 aumentará. Se requieren las labores de coordinación con el fin de generar revisiones del componente técnico durante el proceso de diseño y formulación de la estrategia de empleabilidad y formación para el empleo, y para su implementación en conjunto con la estrategia de emprendimiento, todo ello orientado a la reducción de la feminización de la pobreza, lo cual implica la coordinación y articulación con otros sectores de la Administración Distrital que tienen asiento en la Mesa de reducción de la feminización de la pobreza.</t>
  </si>
  <si>
    <t xml:space="preserve">Prestar servicios profesionales para el desarrollo e implementación del componente de empleo de la estrategia de empleo y emprendimiento para la reducción de la feminización de la pobreza y la articulación con los demás sectores de la administración distrital.  </t>
  </si>
  <si>
    <t>Se requiere de los servicios profesionales de una persona que apoye la definición y que acompañe la elaboración e implementación del componente técnico de la estrategia asociado a empleo, lo anterior  con el fin de generar revisiones del componente durante el proceso de diseño y formulación de la estrategia. De igual forma se requiere que acompañe su articulación intersectorial y aporte al proceso de búsqueda, recolección y análisis de información requerida en el marco de la implementación del componente de empleo.</t>
  </si>
  <si>
    <t xml:space="preserve">Prestar servicios profesionales para el desarrollo e implementación del componente de emprendimiento de la estrategia de empleo y emprendimiento para la reducción de la feminización de la pobreza y la articulación con los demás sectores de la administración distrital.  </t>
  </si>
  <si>
    <t>Se requiere de los servicios profesionales de una persona que apoye la definición y que acompañe la elaboración e implementación del componente técnico de la estrategia asociado a emprendimiento, lo anterior  con el fin de generar revisiones del componente durante el proceso de diseño y formulación de la estrategia. De igual forma se requiere que acompañe su articulación intersectorial y aporte al proceso de búsqueda, recolección y análisis de información requerida en el marco de la implementación del componente de emprendimiento.</t>
  </si>
  <si>
    <t>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t>
  </si>
  <si>
    <t>Teniendo en cuenta el papel de la Secretaría Distrital de la Mujer frente al Decreto Distrital 332 de 2020, y que la entidad además tiene a su cargo el acompañamiento de la estrategia de empleo y emprendimiento para mujeres, y con el propósito de cumplir con la meta establecida en el PDD, se requiere de los servicios profesionales de una persona que acompañe técnicamente la implementación del Decreto 332 de 2020 y apoye a los sectores de la Administración Distrital en la identificación de barreras de acceso que afectan a las mujeres y la consolidación de la información relacionada con acciones de empleabilidad y emprendimiento.</t>
  </si>
  <si>
    <t>Prestar servicios profesionales para apoyar los procesos de gestión y articulación de la estrategia de empleo y emprendimiento(E&amp;E) de la Secretaría Distrital de la Mujer.</t>
  </si>
  <si>
    <t>Teniendo en cuenta  el alcance que adquiere la estrategia en consideración al deterioro de la brecha laboral y de generación de ingresos de las mujeres de Bogotá como resultado de la pandemia, la Secretaría Distrital de la Mujer requiere contratar los servicios profesionales de un profesional especializado que apoye los procesos de  diseño, implementación y seguimiento de la estrategia de emprendimiento y empleabilidad, así como las diferentes articulaciones intra e inter institucional a nivel distrital y nacional, así como la gestión de alianzas con entidades del sector privado que se requieran para el cumplimiento de la misma. Adicionalmente este apoyo comprende las labores de elaboración, consolidación y revisión de informes y documentos que se necesiten como soporte para la correcta ejecución e implementación de la estrategia en el Distrito Capital.</t>
  </si>
  <si>
    <t>Prestar servicios profesionales para apoyar las actividades asociadas a la recolección de insumos; análisis y divulgación estratégicos para el componente de empleo de la estrategia de empleo y emprendimiento.</t>
  </si>
  <si>
    <t>Teniendo en cuenta el alcance que adquiere la estrategia en consideración al deterioro de la brecha laboral y de generación de ingresos de las mujeres de Bogotá como resultado de la pandemia, desde el componente de empleo se requiere de los servicios profesionales de una persona que realice labores de apoyo técnico y administrativo. Este apoyo se refiere al aporte de insumos de contenido, técnicos y operativos y la gestión intra e interinstitucional con entidades de la administración, así como con entidades públicas y privados para el diseño, la formulación, la implementación y el seguimiento del componente de empleo. través de la identificación de insumos. Igualmente, este apoyo comprende actividades administrativas que demanda el desarrollo del componente de empleo, así como la respuesta a las solicitudes de distintas instancias en relación con los contenidos, avances, aportes de la estrategia de emprendimiento y empleabilidad.</t>
  </si>
  <si>
    <t>Prestar servicios profesionales para apoyar la coordinación del equipo territorial encargado de implementar la estrategia de empleabilidad y emprendimiento para la reducción de la feminización de la pobreza.</t>
  </si>
  <si>
    <t>Se requiere de los servicios profesionales de una persona que coordine el componente territorial de la estrategia, así como el equipo de profesionales territoriales de la misma, lo anterior permitirá que las acciones cuenten con acompañamiento técnico oportuno; de igual forma apoyará la distribución y organización del equipo y la identificación de necesidades que serán la base para la implementación de la estrategia a nivel local</t>
  </si>
  <si>
    <t>Apoyar técnicamente los procesos de formación en el marco de la implementación de la estrategia para el desarrollo de capacidades socioemocionales y técnicas de las mujeres en toda su diversidad para su emprendimiento y empleabilidad</t>
  </si>
  <si>
    <t>Se requiere contar con un (1) apoyo técnico que acompañe el desarrollo del componente de  la estrategia de emprendimiento y empleabilidad para el desarrollo de capacidades socioemocionales y técnicas de las mujeres previstas en el proyecto de inversión. De igual modo, la persona realizará apoyo a las profesionales, para la organización, convocatoria, capacitación y demás acciones que se requiera para dar cumplimiento al objeto del contrato.</t>
  </si>
  <si>
    <t>Prestar servicios profesionales para apoyar la implementación de la estrategia de empleabilidad y emprendimiento para la reducción de la feminización de la pobreza en las localidades que le sean asignadas por la supervisora del contrato.</t>
  </si>
  <si>
    <t>Se requiere brindar asesoría, implementar y llevar a cabo el acompañamiento de la estrategia con las mujeres, con el fin de identificar, caracterizar y analizar las diferentes situaciones a las que se enfrentan las mujeres así como buscar alternativas que sean insumo de la reactivación económica, para lo cual resulta necesario contar con servicios de diez (10) profesionales adicionales que brinden apoyo en el desarrollo de la necesidad planteada.</t>
  </si>
  <si>
    <t>Apoyar la supervisión técnica, administrativa y financiera de los convenios y/o contratos, así como las diferentes etapas contractuales de los procesos que se le asignen desde la supervisión del contrato</t>
  </si>
  <si>
    <t>Teniendo en cuenta que se prevé el crecimiento de la estrategia de empleabilidad y emprendimiento, se estima necesaria la contratación de una abogada que apoye la supervisión de convenios y/o contratos que se deriven de las articulaciones; de igual forma que apoye en la estructuración de procesos y demás elementos de las diferente etapas contractuales</t>
  </si>
  <si>
    <t>Subsecretaria de Políticas de Igualdad</t>
  </si>
  <si>
    <t>ADECUACIONES LOGICAS Y FISICAS</t>
  </si>
  <si>
    <t>Mantenimiento maquinaria y equipo</t>
  </si>
  <si>
    <t>O2320202005040254252</t>
  </si>
  <si>
    <t>Servicios generales de construcción de cables locales y obras conexas</t>
  </si>
  <si>
    <t>Adecuaciones lógicas y físicas para las diferentes sedes de la Secretaría Distrital de la Mujer</t>
  </si>
  <si>
    <t>CCE-02 - Licitación pública</t>
  </si>
  <si>
    <t>Para el correcto funcionamiento de los CID es necesario contar con un proveedor que realice las adecuaciones lógicas (Cableado estructurado) y físicas, en caso de reubicación o puesta en operación de nuevas sedes.</t>
  </si>
  <si>
    <t>Oficina Asesora de Planeación</t>
  </si>
  <si>
    <t>ADQUISICION E INSTALACION DE MUEBLES DE OFICINA</t>
  </si>
  <si>
    <t>Maquinaria y Equipo</t>
  </si>
  <si>
    <t>O232020200662283</t>
  </si>
  <si>
    <t>Comercio al por menor de maquinaria y equipo de oficina incluyendo los muebles de oficina en establecimientos especializados</t>
  </si>
  <si>
    <t>56111500; 73111505; 72153606</t>
  </si>
  <si>
    <t>Contratar la adquisición e instalación de muebles de oficina para los Centros de Inclusión Digital de la Secretaría Distrital de la Mujer</t>
  </si>
  <si>
    <t>CCE-07 - Selección abreviada subasta inversa</t>
  </si>
  <si>
    <t xml:space="preserve">Con la reorientación conceptual de los CID, iniciada durante 2021, se hace necesario fortalecer los CID con mobiliario, como mesas, sillas, gavetas, entro otros. </t>
  </si>
  <si>
    <t>CURSOS VIRTUALES</t>
  </si>
  <si>
    <t>Servicios prestados a las empresas y servicios de producción</t>
  </si>
  <si>
    <t xml:space="preserve">M2. Diseñar 13 contenidos para el desarrollo de capacidades socioemocionales, técnicas y digitales de las mujeres, en toda su diversidad </t>
  </si>
  <si>
    <t>86101810, 60105301, 60105303, 43232404, 43232408, 86101810, 93141801, 94141810</t>
  </si>
  <si>
    <t>Elaborar, desarrollar, virtualizar y poner en marcha cursos virtuales para el desarrollo de capacidades de las mujeres, así como capacidades institucionales a partir de los enfoques de género y diferencial</t>
  </si>
  <si>
    <t xml:space="preserve">Se considera fundamental desde la SDMujer, promover la formación para la empleabilidad entendida de acuerdo con la Resolución 195 de la OIT, como el conjunto de “competencias y cualificaciones transferibles que refuerzan la capacidad de las personas para aprovechar las oportunidades de educación y de formación que se les presenten con miras a encontrar y conservar un trabajo decente, progresar en la empresa o al cambiar de empleo y adaptarse a la evolución de la tecnología y de las condiciones del mercado de trabajo” Esta concepción de la empleabilidad (OIT- CINTEFOR, 2012) implica una transferencia de poder que permite desenvolverse con autonomía en un contexto con incertidumbre, que presenta cambios que demanda adaptaciones para el empleo y desarrollar capacidades de emprendimiento. La “competencia emprendedora” (OIT- CINTEFOR, 2012) se entiende como los conocimientos, habilidades y destrezas que promueven innovación, la creatividad, la autoconfianza y la capacidad para desarrollar o fortalecer proyectos individuales o colectivos. De esta forma, de acuerdo con los autores, la competencia emprendedora se materializa cuando una idea de negocio se consolida en un plan de negocio con metas, plazos y recursos definidos que se lleva a cabo. </t>
  </si>
  <si>
    <t>BOLSA 01</t>
  </si>
  <si>
    <t>BOLSA ADOBE</t>
  </si>
  <si>
    <t>O232020200883143</t>
  </si>
  <si>
    <t>Software originales</t>
  </si>
  <si>
    <t>43232100</t>
  </si>
  <si>
    <t xml:space="preserve"> Contratar la Adquisición de licencias Adobe para la Secretaria Distrital de la Mujer.</t>
  </si>
  <si>
    <t>Se utilizará una licencia para los elementos gráficos de los cursos y para diseñar la visualización de los procesos formativos virtuales.</t>
  </si>
  <si>
    <t>Oficina Asesora de Planeación - Tecnología</t>
  </si>
  <si>
    <t>BOLSA 02</t>
  </si>
  <si>
    <t>BOLSA APOYO LOGISTICO</t>
  </si>
  <si>
    <t>Servicios de alojamiento comidas y bebidas</t>
  </si>
  <si>
    <t>O232020200663399</t>
  </si>
  <si>
    <t>Otros servicios de suministro de comidas</t>
  </si>
  <si>
    <t xml:space="preserve">Prestar los servicios de apoyo logístico para atender las actividades misionales y/o de apoyo que adelante la Secretaría Distrital de la Mujer en cumplimiento de sus funciones, de conformidad con el anexo técnico y la oferta presentada por el contratista
</t>
  </si>
  <si>
    <t>Se tiene previsto realizar actividades de socialización, evaluación y retroalimentación de los procesos formativos, con participación de ciudadanas interesadas así como actividades de socialización de la estrategia de empleo y emprendimiento con la participación de diferentes actores públicos y privados.</t>
  </si>
  <si>
    <t>Dirección de Gestión Administrativa y Financiera</t>
  </si>
  <si>
    <t>BOLSA 04</t>
  </si>
  <si>
    <t>BOLSA BIOSEGURIDAD</t>
  </si>
  <si>
    <t>Materiales</t>
  </si>
  <si>
    <t>O2320201003083899997</t>
  </si>
  <si>
    <t>Artículos n.c.p. para protección</t>
  </si>
  <si>
    <t>46181500</t>
  </si>
  <si>
    <t>Adquirir elementos de protección personal y bioseguridad para la Secretaría Distrital de la Mujer</t>
  </si>
  <si>
    <t>CCE-99 - Seléccion abreviada - acuerdo marco</t>
  </si>
  <si>
    <t>Teniendo en cuenta el trabajo que realiza el equipo de formación de la DGC en diversos territorios y su contacto directo con ciudadanía, se hace necesario que cuenten con elementos de protección personal para evitar contagio por COVID-19.</t>
  </si>
  <si>
    <t xml:space="preserve">Dirección de Talento Humano </t>
  </si>
  <si>
    <t>BOLSA 05</t>
  </si>
  <si>
    <t>BOLSA COMUNICACIONES CONVERGENTES</t>
  </si>
  <si>
    <t>O232020200884222</t>
  </si>
  <si>
    <t>Servicios de acceso a Internet de banda ancha</t>
  </si>
  <si>
    <t>81161700</t>
  </si>
  <si>
    <t>Suministrar los servicios integrados de comunicaciones convergentes que requiera la Secretaría Distrital de la Mujer.</t>
  </si>
  <si>
    <t xml:space="preserve">CCE-05 - Contratación directa (con ofertas) </t>
  </si>
  <si>
    <t>Es necesario garantizar la continuidad de servicios de telefonía y datos móviles en los Centros de Inclusión Digital para llevar a cabo los procesos formativos así como para la difusión de la estrategia se requiere contar con servicios de telefonía móvil y con mensajes de texto que apoyarán la divulgación de los servicios que se implementen.</t>
  </si>
  <si>
    <t>BOLSA 06</t>
  </si>
  <si>
    <t>BOLSA CONSUMIBLES DE IMPRESIÓN</t>
  </si>
  <si>
    <t>O2320201003053513001</t>
  </si>
  <si>
    <t>Tintas tipográficas para imprenta</t>
  </si>
  <si>
    <t>44103103</t>
  </si>
  <si>
    <t>Adquirir a través de la Tienda Virtual del Estado Colombiano consumibles de impresión para  los equipos multifuncionales de la Secretaría Distrital de la Mujer</t>
  </si>
  <si>
    <t>La entidad debe contar con los tóner requeridos para el funcionamiento de 15 impresoras ubicadas en los CID.</t>
  </si>
  <si>
    <t>BOLSA 08</t>
  </si>
  <si>
    <t>BOLSA FERRETERIA</t>
  </si>
  <si>
    <t>Servicios de venta y de distribución</t>
  </si>
  <si>
    <t>O2320201004024299991</t>
  </si>
  <si>
    <t>Artículos n.c.p. de ferretería y cerrajería</t>
  </si>
  <si>
    <t>Suministro de elementos de ferretería para la Secretaría Distrital de la Mujer</t>
  </si>
  <si>
    <t>Es necesario adquirir elementos de ferretería para la adecuación de los CID.</t>
  </si>
  <si>
    <t>BOLSA 09</t>
  </si>
  <si>
    <t>BOLSA LICENCIAS MICROSOFT</t>
  </si>
  <si>
    <t>43231500</t>
  </si>
  <si>
    <t>Contratar a través de la Tienda Virtual del Estado Colombiano por medio del Instrumento de Agregación de Demanda No. CCE-139-IAD-2020 productos Microsoft para la Secretaría Distrital de la Mujer</t>
  </si>
  <si>
    <t>Continuidad del licenciamiento Microsoft para equipos ubicados en los CID asi como para contratistas que hacen parte del proyecto de inversión.</t>
  </si>
  <si>
    <t>BOLSA 10</t>
  </si>
  <si>
    <t>BOLSA PAPELERIA</t>
  </si>
  <si>
    <t>O2320201003083899998</t>
  </si>
  <si>
    <t>Artículos n.c.p. para escritorio y oficina</t>
  </si>
  <si>
    <t>44121630</t>
  </si>
  <si>
    <t xml:space="preserve">Suministro de elementos de papelería, útiles de escritorio y oficina, que sean requeridos para apoyar la gestión administrativa de la Secretaria Distrital de la Mujer </t>
  </si>
  <si>
    <t>Los procesos formativos y la implementación de la estrategia de empleo y emprendimiento, requieren elementos de papelería para su ejecución.</t>
  </si>
  <si>
    <t>Dirección de Gestión Administrativa y Financiera - DOCUMENTAL</t>
  </si>
  <si>
    <t>BOLSA 12</t>
  </si>
  <si>
    <t>BOLSA PRODUCCION E IMPRESIÓN DE PIEZAS GRAFICAS</t>
  </si>
  <si>
    <t>O2320201003023262003</t>
  </si>
  <si>
    <t>Catálogos, folletos y otras impresiones publicitarias</t>
  </si>
  <si>
    <t>Prestar el servicio de producción e impresión de piezas gráficas y artículos para la divulgación de información pedagógica y campañas institucionales de la Secretaria Distrital de la Mujer.</t>
  </si>
  <si>
    <t>Los procesos formativos requieren ocasionalmente la impresión de piezas comunicativas y otros materiales pedagógicos. También es necesario que se impriman piezas que permitan socializar la oferta de servicios de los CID.</t>
  </si>
  <si>
    <t>Proceso Comunicación estratégica</t>
  </si>
  <si>
    <t>BOLSA 13</t>
  </si>
  <si>
    <t>BOLSA TRANSPORTE TERRESTRE</t>
  </si>
  <si>
    <t>Transporte</t>
  </si>
  <si>
    <t>O232020200664119</t>
  </si>
  <si>
    <t>Otros servicios de transporte terrestre local de pasajeros n.c.p.</t>
  </si>
  <si>
    <t>78111800</t>
  </si>
  <si>
    <t>Contratar la prestación del servicio de transporte terrestre automotor especial de acuerdo con las necesidades de la Secretaría Distrital de la Mujer para el cumplimiento de su misión y desarrollo de sus funciones.</t>
  </si>
  <si>
    <t>Se requiere la prestación del servicio de transporte con el fin de trasladar el equipo territorial de tal forma que la difusión de la estrategia se realice a nivel distrital</t>
  </si>
  <si>
    <t>BOLSA 19</t>
  </si>
  <si>
    <t>BOLSA COMPRA DE EQUIPOS TECNOLOGICOS</t>
  </si>
  <si>
    <t>O232010100502030101</t>
  </si>
  <si>
    <t>Paquetes de software</t>
  </si>
  <si>
    <t>43211500</t>
  </si>
  <si>
    <t>Contratar a través de la Tienda Virtual del Estado Colombiano por medio del Acuerdo Marco de Precios No. CCE-925-AMP-2019 Equipos Tecnológicos y periféricos para la Secretaría Distrital de la Mujer</t>
  </si>
  <si>
    <t>Con la reorientación conceptual de los CID, iniciada durante 2021, se hace necesario fortalecer los CID con dispositivos móviles como tabletas para que las mujeres participantes en los procesos formativos los utilicen y pongan en práctica los conocimientos adquiridos.</t>
  </si>
  <si>
    <t>RESCATE SOCIAL - Encadenamientos productivos</t>
  </si>
  <si>
    <t xml:space="preserve">M4. Diseñar e implementar 1 piloto de un programa para promover la autonomía económica de las mujeres cuidadoras en el marco de la estrategia de empleo y emprendimiento de la Secretaría  </t>
  </si>
  <si>
    <t>O232020200991122</t>
  </si>
  <si>
    <t>Servicios de la administración pública relacionados con la salud y los servicios sociales</t>
  </si>
  <si>
    <t>Prestación de servicios de un operador territorial para la implementación programa de generación de ingresos dirigido a fomentar la asociatividad de mujeres cuidadoras</t>
  </si>
  <si>
    <t>1-200-F001 - RB-Otros distrito</t>
  </si>
  <si>
    <t>Los programas ofrecidos por el Distrito en el marco del rescate social favorecen a un amplio grupo de la población, pero tienen barreras para el acceso de mujeres que actualmente están dedicando más de diez horas diarias al cuidado (1.000.000 de mujeres en la ciudad aproximadamente según la GEIH), asociados precisamente a la falta de tiempo disponible. Es por esta razón que desde la Secretaría Distrital de la Mujer, se propone un programa para fomentar la asociatividad de mujeres cuidadoras para la generación de ingresos y la organización del trabajo de cuidado a través de esquemas de economía solidaria. Este programa busca crear o fortalecer a 50 organizaciones productivas de mujeres cuidadoras para encadenarlas a esquemas de proveeduría inclusiva de empresas identificadas como parte del programa.</t>
  </si>
  <si>
    <t>Prestar servicios profesionales para brindar apoyo administrativo en el diseño, implementación y seguimiento del programa piloto para promover la autonomía económica de las mujeres cuidadoras en el marco de la estrategia de emprendimiento y empleabilidad de la Secretaría Distrital de la Mujer.</t>
  </si>
  <si>
    <t>Teniendo en cuenta el alcance que adquiere para la estrategia el diseño e implementación del programa piloto “Vecinas, trabajemos juntas”, se requiere contratar los servicios profesionales de una persona que brinde el apoyo administrativo para el correcto diseño, ejecución y seguimiento del programa que se implementará a través de un Convenio de Cooperación Internacional. En este sentido, se requieren las labores de apoyo en la supervisión del convenio, seguimiento a los requerimientos administrativos, tanto por parte de la SDMujer como por parte de le entidad con la que se realice el convenio para la ejecución del programa, prestar apoyo en la elaboración, consolidación y revisión de informes y documentos administrativos y financieros, apoyar al equipo coordinador en la revisión de todos los entregables, y en la gestión y logística de las actividades requeridas, así como en cualquier otra actividad administrativa que se requiera.</t>
  </si>
  <si>
    <t>viernes, 3 de diciembre de 2021, 11:12 a. m.</t>
  </si>
  <si>
    <t>Prestar servicios profesionales para apoyar la coordinación del diseño, implementación y seguimiento del programa piloto para promover la autonomía económica de las mujeres cuidadoras en el marco de la estrategia de emprendimiento y empleabilidad de la Secretaría Distrital de la Mujer.</t>
  </si>
  <si>
    <t>Teniendo en cuenta el alcance que adquiere para la estrategia el diseño e implementación del programa piloto “Vecinas, trabajemos juntas”, se requiere contratar los servicios profesionales de una persona que apoye la coordinación del programa “Vecinas, trabajemos juntas” y que acompañe el diseño e implementación del mismo, tanto al interior del equipo y la entidad, como externamente con la entidad con la que se lleve a cabo el convenio para la ejecución de este. Teniendo en cuenta lo anterior, se requieren las labores de un profesional a cargo de coordinar la operación del programa, participar en las instancias técnicas y de toma de decisión, articular el desarrollo del programa con la Estrategia de Empleo y Emprendimiento, en particular, brindando apoyo en el componente de generación de ingresos, e identificar oportunidades para fortalecer los resultados esperados de la intervención a través de la articulación con otros sectores de la Administración Distrital o del sector privado.</t>
  </si>
  <si>
    <t>NO</t>
  </si>
  <si>
    <t>PROCESO EN CURSO</t>
  </si>
  <si>
    <t>PCC 7673</t>
  </si>
  <si>
    <t>SIMISIONAL - PCC</t>
  </si>
  <si>
    <t>9. Aumentar en un 30% el número de mujeres formadas en los centros de inclusión digital
10. Diseñar y acompañar la estrategia de emprendimiento y empleabilidad para la autonomía económica de las mujeres</t>
  </si>
  <si>
    <t>O232020200883142</t>
  </si>
  <si>
    <t>Servicios de diseño y desarrollo de redes y sistemas en tecnologías de la información (TI)</t>
  </si>
  <si>
    <t>-</t>
  </si>
  <si>
    <t>Diseñar y desarrollar el nuevo Sistema de Información Misional de la Secretaría de la Mujer, SIMISIONAL 2.0. PC 429 P.2021</t>
  </si>
  <si>
    <t>CCE-04 - Concurso de méritos abierto</t>
  </si>
  <si>
    <t>1-501-I001 - PCC-Otros distrito</t>
  </si>
  <si>
    <t>Dirección de Gestsión del conocimiento</t>
  </si>
  <si>
    <t>PROCESO NUEVO FINALIZANDO EL AÑO TELEFONOS CEL</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</si>
  <si>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</si>
  <si>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</si>
  <si>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</si>
  <si>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</si>
  <si>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</si>
  <si>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</si>
  <si>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Valor total estimado</t>
  </si>
  <si>
    <t>Valor estimado en la vigencia actual</t>
  </si>
  <si>
    <t>44122003</t>
  </si>
  <si>
    <t>128. 7671,7673,7675,7718,7662. Adquisición de productos derivados del papel y cartón requeridos para apoyar la gestión administrativa de la Secretaria Distrital de la Mujer.</t>
  </si>
  <si>
    <t>Febrero</t>
  </si>
  <si>
    <t>Marzo</t>
  </si>
  <si>
    <t>90</t>
  </si>
  <si>
    <t>Días</t>
  </si>
  <si>
    <t>Seléccion abreviada - acuerdo marco</t>
  </si>
  <si>
    <t xml:space="preserve">Recursos propios </t>
  </si>
  <si>
    <t>934. 7662,7668,7673,7739. Contratar la Adquisición de licencias Adobe para la Secretaria Distrital de la Mujer.</t>
  </si>
  <si>
    <t>360</t>
  </si>
  <si>
    <t>Selección abreviada subasta inversa</t>
  </si>
  <si>
    <t>80141607</t>
  </si>
  <si>
    <t>935. 7718,7668,7671,7673,7675,7734,7738,7739. Prestar los servicios de apoyo logístico para atender las actividades misionales y/o de apoyo que adelante la Secretaría Distrital de la Mujer en cumplimiento de sus funciones, de conformidad con el anexo técnico y la oferta presentada por el contratista</t>
  </si>
  <si>
    <t>Mayo</t>
  </si>
  <si>
    <t>30</t>
  </si>
  <si>
    <t>Licitación pública</t>
  </si>
  <si>
    <t>937. 7718,7671,7672,7673,7675,7734,FUN. Adquirir elementos de protección personal y bioseguridad para la Secretaría Distrital de la Mujer</t>
  </si>
  <si>
    <t>60</t>
  </si>
  <si>
    <t>83111603</t>
  </si>
  <si>
    <t>938. 7718,7662,7671,7672,7673,7675,7734. Suministrar los servicios integrados de comunicaciones convergentes que requiera la Secretaría Distrital de la Mujer.</t>
  </si>
  <si>
    <t>939. 7671,7673,7675. Adquirir a través de la Tienda Virtual del Estado Colombiano consumibles de impresión para los equipos multifuncionales de la Secretaría Distrital de la Mujer</t>
  </si>
  <si>
    <t>31162800</t>
  </si>
  <si>
    <t>941. 7718,7662,7671,7673,7675. Suministro de elementos de ferretería para la Secretaría Distrital de la Mujer</t>
  </si>
  <si>
    <t>942. 7718,7662,7668,7671,7672,7673,7675,7734,7738,7739. Contratar a través de la Tienda Virtual del Estado Colombiano por medio del Instrumento de Agregación de Demanda No. CCE-139-IAD-2020 productos Microsoft para la Secretaría Distrital de la Mujer</t>
  </si>
  <si>
    <t>943. 7718,7662,7671,7673,7675. Suministro de elementos de papelería, útiles de escritorio y oficina, que sean requeridos para apoyar la gestión administrativa de la Secretaria Distrital de la Mujer.</t>
  </si>
  <si>
    <t>240</t>
  </si>
  <si>
    <t>82101905</t>
  </si>
  <si>
    <t>945. 7718,7668,7671,7673,7675,7676,7734,7738,7739. Prestar el servicio de producción e impresión de piezas gráficas y artículos para la divulgación de información pedagógica y campañas institucionales de la Secretaria Distrital de la Mujer</t>
  </si>
  <si>
    <t>Agosto</t>
  </si>
  <si>
    <t>946. 7718,7668,7671,7672,7673,7675,7734. Contratar la prestación del servicio de transporte terrestre automotor especial de acuerdo con las necesidades de la Secretaría Distrital de la Mujer para el cumplimiento de su misión y desarrollo de sus funciones.</t>
  </si>
  <si>
    <t>315</t>
  </si>
  <si>
    <t>952. 7718,7673. Contratar a través de la Tienda Virtual del Estado Colombiano por medio del Acuerdo Marco de Precios No. CCE-925-AMP-2019 Equipos Tecnológicos y periféricos para la Secretaría Distrital de la Mujer</t>
  </si>
  <si>
    <t>Junio</t>
  </si>
  <si>
    <t>72151605</t>
  </si>
  <si>
    <t>413. 7673. Adecuaciones lógicas y físicas para las diferentes sedes de la Secretaría Distrital de la Mujer</t>
  </si>
  <si>
    <t>210</t>
  </si>
  <si>
    <t>56111500</t>
  </si>
  <si>
    <t>414. 7673. Contratar la adquisición e instalación de muebles de oficina para los Centros de Inclusión Digital de la Secretaría Distrital de la Mujer</t>
  </si>
  <si>
    <t>86101810</t>
  </si>
  <si>
    <t>415. 7673. Elaborar, desarrollar, virtualizar y poner en marcha cursos virtuales para el desarrollo de capacidades de las mujeres, así como capacidades institucionales a partir de los enfoques de género y diferencial</t>
  </si>
  <si>
    <t>Contratación directa.</t>
  </si>
  <si>
    <t>LLAVE</t>
  </si>
  <si>
    <t>PROYECTO</t>
  </si>
  <si>
    <t>Ejercicio</t>
  </si>
  <si>
    <t>Período</t>
  </si>
  <si>
    <t>Fecha Inicial</t>
  </si>
  <si>
    <t>Fecha Final</t>
  </si>
  <si>
    <t>Centro gestor</t>
  </si>
  <si>
    <t>Fe.contabil.en control presupuestario</t>
  </si>
  <si>
    <t>Tipo de compromiso</t>
  </si>
  <si>
    <t>Compromiso</t>
  </si>
  <si>
    <t>No. Compromiso</t>
  </si>
  <si>
    <t>Plazo</t>
  </si>
  <si>
    <t>Forma Pago</t>
  </si>
  <si>
    <t>Número de CDP</t>
  </si>
  <si>
    <t>Número de CRP</t>
  </si>
  <si>
    <t>Objeto</t>
  </si>
  <si>
    <t>Rubro</t>
  </si>
  <si>
    <t>Descripcion Rubro</t>
  </si>
  <si>
    <t>Fondos</t>
  </si>
  <si>
    <t>Descripcion del Fondo</t>
  </si>
  <si>
    <t>Concepto del gasto</t>
  </si>
  <si>
    <t>Descripción del Concepto del gasto</t>
  </si>
  <si>
    <t>Elemento PEP</t>
  </si>
  <si>
    <t>Texto Id Proyecto</t>
  </si>
  <si>
    <t>Modalidad de selección</t>
  </si>
  <si>
    <t>BP Beneficiario</t>
  </si>
  <si>
    <t>Tipo Documento BP</t>
  </si>
  <si>
    <t>Número documento BP</t>
  </si>
  <si>
    <t>Nombre BP Beneficiario</t>
  </si>
  <si>
    <t>ID Responsable</t>
  </si>
  <si>
    <t>Nombre responsable</t>
  </si>
  <si>
    <t>ID Solicitante</t>
  </si>
  <si>
    <t>Nombre solicitante</t>
  </si>
  <si>
    <t>Moneda transacción</t>
  </si>
  <si>
    <t>Valor CRP</t>
  </si>
  <si>
    <t>Anulaciones</t>
  </si>
  <si>
    <t>Reintegros</t>
  </si>
  <si>
    <t>Valor neto</t>
  </si>
  <si>
    <t>Autorizacion giro</t>
  </si>
  <si>
    <t>Compromisos sin Aut. de Giro</t>
  </si>
  <si>
    <t>Número interno CRP</t>
  </si>
  <si>
    <t>Pos.referencia</t>
  </si>
  <si>
    <t>Número interno CDP</t>
  </si>
  <si>
    <t>Posición de la imputacion CDP</t>
  </si>
  <si>
    <t>Fecha de entrada</t>
  </si>
  <si>
    <t>JUSTIFICACION DE LA CONSTITUCION DE LA RESERVA - VIG 2022
INSUMO INFORME HACIENDA</t>
  </si>
  <si>
    <t>IMPACTO DE CONSTITUCIÓN DE LA RESERVA EN LAS METAS DEL PROYECTO DE INVERSIÓN</t>
  </si>
  <si>
    <t>FECHA DE TERMINACION DEL CONTRATO VIGENTE</t>
  </si>
  <si>
    <t>OBSERVACION OAP</t>
  </si>
  <si>
    <t>265301299133011601020000007673</t>
  </si>
  <si>
    <t>2022</t>
  </si>
  <si>
    <t>1</t>
  </si>
  <si>
    <t>0121-01</t>
  </si>
  <si>
    <t>148</t>
  </si>
  <si>
    <t>CONTRATO DE PRESTACION DE SERVICIOS DE APOYO A LA GESTION</t>
  </si>
  <si>
    <t>265</t>
  </si>
  <si>
    <t>331</t>
  </si>
  <si>
    <t>02</t>
  </si>
  <si>
    <t>ORDENES DE PAGO</t>
  </si>
  <si>
    <t>301</t>
  </si>
  <si>
    <t>299</t>
  </si>
  <si>
    <t>Apoyar a la Dirección de Gestión del Conocimiento en la implementaciónde los procesos formativos asociados a temas de derechos de las mujeresmediante el uso de herramientas TIC, TAC y TEP. PC 439 CD-PS-281-2021</t>
  </si>
  <si>
    <t>133011601020000007673</t>
  </si>
  <si>
    <t>1-100-F001</t>
  </si>
  <si>
    <t>VA-Recursos distrito</t>
  </si>
  <si>
    <t>1082001052</t>
  </si>
  <si>
    <t>Servicios para la comunidad, sociales y personales</t>
  </si>
  <si>
    <t>PM/0121/0100/0000007673</t>
  </si>
  <si>
    <t>0121 INVERSIÓN 0000007673</t>
  </si>
  <si>
    <t>10</t>
  </si>
  <si>
    <t>CONTRATACIÓN DIRECTA</t>
  </si>
  <si>
    <t>1000134987</t>
  </si>
  <si>
    <t>CC</t>
  </si>
  <si>
    <t>1033697548</t>
  </si>
  <si>
    <t>YINA FERNANDA ROBAYO CARDENAS</t>
  </si>
  <si>
    <t>1000215737</t>
  </si>
  <si>
    <t>LILIANA PATRICIA HERNANDEZ HURTADO</t>
  </si>
  <si>
    <t>1000158014</t>
  </si>
  <si>
    <t>ADIBI JALIMA JALAFES MONTES</t>
  </si>
  <si>
    <t>COP</t>
  </si>
  <si>
    <t>5000120685</t>
  </si>
  <si>
    <t>96764</t>
  </si>
  <si>
    <t>163-2020808730133011601020000007673</t>
  </si>
  <si>
    <t>11</t>
  </si>
  <si>
    <t>CONTRATOS INTERADMINISTRATIVOS</t>
  </si>
  <si>
    <t>163-2020</t>
  </si>
  <si>
    <t>58</t>
  </si>
  <si>
    <t>808</t>
  </si>
  <si>
    <t>730</t>
  </si>
  <si>
    <t>Adición y prórroga al contrato No. 163 de 2020, cuyo objeto es:"Suministrar los servicios integrados de comunicaciones convergentes querequiera la SDMujer".</t>
  </si>
  <si>
    <t>1082001042</t>
  </si>
  <si>
    <t>PM/0121/0103/0000007673</t>
  </si>
  <si>
    <t>IGUALDAD DE OPORTUNIDADES Y DESARROLLO DE CAPACIDA</t>
  </si>
  <si>
    <t>1000451829</t>
  </si>
  <si>
    <t>NIT</t>
  </si>
  <si>
    <t>899999115</t>
  </si>
  <si>
    <t>EMPRESA DE TELECOMUNICACIONES DE BOGOTÁ S.A. E.S.P. - ETB S.A. ESP</t>
  </si>
  <si>
    <t>5000167572</t>
  </si>
  <si>
    <t>146314</t>
  </si>
  <si>
    <t>Se constituye la reserva teniendo en cuenta que con corte al 31 de diciembre de 2021 el contrato no había sido liquidado, sin embargo, estos recursos serán liberados en la liquidación del contrato 163 de 2020 que ya se encuentra radicada en la Dirección de Contratación.</t>
  </si>
  <si>
    <t xml:space="preserve">OK - Se complementa justificacion </t>
  </si>
  <si>
    <t>671927921133011601020000007673</t>
  </si>
  <si>
    <t>671</t>
  </si>
  <si>
    <t>183</t>
  </si>
  <si>
    <t>927</t>
  </si>
  <si>
    <t>921</t>
  </si>
  <si>
    <t>Suministrar los servicios integrados de comunicaciones convergentes querequiera la Secretaría Distrital de la Mujer. PC 461 CD-CI-684-2021</t>
  </si>
  <si>
    <t>5000182498</t>
  </si>
  <si>
    <t>156883</t>
  </si>
  <si>
    <t>Se requiere la constitución de la respectiva reserva presupuestal teniendo en cuenta que el contrato 671 de 2021 esta suscrito hasta el 28/02/2022, los pagos se realizan mensualmente de acuerdo a los servicios prestados hasta el mes de marzo de 2022, debido a que el pago se realiza mes vencido, asi mismo la Secretaria Distrital de la Mujer en desarrollo de sus actividades misionales y administrativas requiere garantizar la conectividad con los servicios de Internet, canales de datos, seguridad en la nube, telefonía móvil y telefonía IP entre las sedes de la Secretaría de la Mujer.</t>
  </si>
  <si>
    <t>Esta reserva corresponde a Meta 1: 94% y Meta 3: 6%</t>
  </si>
  <si>
    <t>72472910231330116010200000076732712013</t>
  </si>
  <si>
    <t>12</t>
  </si>
  <si>
    <t>CONTRATO DE PRESTACION DE SERVICIOS</t>
  </si>
  <si>
    <t>724</t>
  </si>
  <si>
    <t>150</t>
  </si>
  <si>
    <t>729</t>
  </si>
  <si>
    <t>1023</t>
  </si>
  <si>
    <t>Prestar los servicios de apoyo logístico para atender las actividadesmisionales y/o de apoyo que adelante la Secretaría Distrital de la Mujeren cumplimiento de sus funciones, de conformidad con el anexo técnico yla oferta presentada por el contratista. PC 728 SDMUJER-LP-002-2021</t>
  </si>
  <si>
    <t>01</t>
  </si>
  <si>
    <t>LICITACIÓN PÚBLICA</t>
  </si>
  <si>
    <t>1000545163</t>
  </si>
  <si>
    <t>830078025</t>
  </si>
  <si>
    <t>DOUGLAS TRADE S A S</t>
  </si>
  <si>
    <t>1000610481</t>
  </si>
  <si>
    <t>DALIA INES OLARTE MARTINEZ</t>
  </si>
  <si>
    <t>5000191416</t>
  </si>
  <si>
    <t>140817</t>
  </si>
  <si>
    <t>8351226132013301160102000000767324000003</t>
  </si>
  <si>
    <t>835</t>
  </si>
  <si>
    <t>84</t>
  </si>
  <si>
    <t>1226</t>
  </si>
  <si>
    <t>1320</t>
  </si>
  <si>
    <t>Prestación de servicios para el diseño, implementación y puesta enmarcha de diplomados virtuales que permitan el desarrollo de capacidadessocioemocionales, técnicas y ciudadanas de las mujeres en su diversidadPC 986 CD-CI-820-2021</t>
  </si>
  <si>
    <t>1000500751</t>
  </si>
  <si>
    <t>899999063</t>
  </si>
  <si>
    <t>UNIVERSIDAD NACIONAL DE COLOMBIA</t>
  </si>
  <si>
    <t>1000187091</t>
  </si>
  <si>
    <t>ANA ROCIO MURCIA GOMEZ</t>
  </si>
  <si>
    <t>1004993529</t>
  </si>
  <si>
    <t>LUIS GUILLERMO FLECHAS SALCEDO</t>
  </si>
  <si>
    <t>5000211597</t>
  </si>
  <si>
    <t>174527</t>
  </si>
  <si>
    <t xml:space="preserve">Durante la estructuración de los estudios previos, el contrato se firmó a 5 meses periodo comprendido entre octubre de 2021  y marzo de 2022; lo anterior basado en el cronograma presentado por la Universidad y aprobado por la entidad;  lo anterior previendo que los los módulos de cada diplomado se realizaran dentro de los plazos programados, con la calidad requerida y esperada por la ciudadanía; dado lo anterior se planteió establecer reserva presupuestal por el 30% del valor del contrato. </t>
  </si>
  <si>
    <t>78092132413561330116010200000076734759996</t>
  </si>
  <si>
    <t>04</t>
  </si>
  <si>
    <t>ORDEN DE COMPRA</t>
  </si>
  <si>
    <t>78092</t>
  </si>
  <si>
    <t>7</t>
  </si>
  <si>
    <t>1324</t>
  </si>
  <si>
    <t>1356</t>
  </si>
  <si>
    <t>Adquirir a través de la Tienda Virtual del Estado Colombiano consumiblesde impresión para los equipos multifuncionales de la SecretaríaDistrital de la Mujer. PC 726</t>
  </si>
  <si>
    <t>1082000041</t>
  </si>
  <si>
    <t>Otros bienes transportables (excepto productos metálicos, maquinaria y equipo)</t>
  </si>
  <si>
    <t>CONTRATACIÓN MÍNIMA CUANTÍA</t>
  </si>
  <si>
    <t>1000505876</t>
  </si>
  <si>
    <t>830037946</t>
  </si>
  <si>
    <t>PANAMERICANA LIBRERIA Y PAPELERIA S A</t>
  </si>
  <si>
    <t>5000216830</t>
  </si>
  <si>
    <t>182258</t>
  </si>
  <si>
    <t>Es necesario realizar un ajuste de los elementos adquiridos y solo se realizará el pago cuando sean recibidos a satisfacción.</t>
  </si>
  <si>
    <t xml:space="preserve">La adquisición de tóner es necesaria para garantizar la correcta operación de las impresoras ubicadas en los CID. </t>
  </si>
  <si>
    <t>93312801509133011601020000007673</t>
  </si>
  <si>
    <t>16</t>
  </si>
  <si>
    <t>CONTRATO DE COMPRAVENTA</t>
  </si>
  <si>
    <t>933</t>
  </si>
  <si>
    <t>36</t>
  </si>
  <si>
    <t>1280</t>
  </si>
  <si>
    <t>1509</t>
  </si>
  <si>
    <t>Contratar la adquisición de Switches para fortalecer la infraestructurade comunicaciones, de la Secretaría Distrital de la Mujer. PC 737</t>
  </si>
  <si>
    <t>1082000052</t>
  </si>
  <si>
    <t>Productos metálicos y paquetes de software</t>
  </si>
  <si>
    <t>1000485928</t>
  </si>
  <si>
    <t>900434462</t>
  </si>
  <si>
    <t>REDNEET S.A.S.</t>
  </si>
  <si>
    <t>5000229227</t>
  </si>
  <si>
    <t>178574</t>
  </si>
  <si>
    <t>Contrato 933 se suscribio el 24/11/2021, la empresa a la cual se le adjudico el contrato solicito una prorroga la cual se dío por 4 meses  hasta el 20 de abril justificando lo siguiente "La escasez de materiales en el sector de los semiconductores está afectando a las cadenas de suministro mundiales y ralentizando la producción en múltiples sectores, desde la automoción hasta la electrónica de consumo, entre otros. Cisco es una de las muchas empresas que están experimentando retrasos en el suministro de componentes, lo que está provocando tiempos de respuesta prolongados en un subconjunto concentrado de productos Cisco".por esta razon el pago se realizará al momento de la entrega del nodo instalado, configurado y puesto en funcionamiento.</t>
  </si>
  <si>
    <t>OK JUSTIFICACION</t>
  </si>
  <si>
    <t>94411061522133011601020000007673</t>
  </si>
  <si>
    <t>19</t>
  </si>
  <si>
    <t>CONTRATO DE SUMINISTRO</t>
  </si>
  <si>
    <t>944</t>
  </si>
  <si>
    <t>31</t>
  </si>
  <si>
    <t>1106</t>
  </si>
  <si>
    <t>1522</t>
  </si>
  <si>
    <t>Suministro de elementos de ferretería para la Secretaría Distrital de laMujer. PC 731</t>
  </si>
  <si>
    <t>03</t>
  </si>
  <si>
    <t>SELEC. ABREV. SUBASTA INVERSA</t>
  </si>
  <si>
    <t>1000629505</t>
  </si>
  <si>
    <t>830073899</t>
  </si>
  <si>
    <t>COMERCIALIZADORA ELECTROCON SAS</t>
  </si>
  <si>
    <t>5000230970</t>
  </si>
  <si>
    <t>165314</t>
  </si>
  <si>
    <t xml:space="preserve">Se requiere constituir reserva presupuestal para el presente contrato, toda vez que este fue suscrito el 3 de diciembre de 2021 con un plazo de 5 meses, es decir, que finaliza el 2 de mayo de 2022 y se estipulo que la Secretaría realizará pagos mensuales de acuerdo con los ítems requeridos y entregados a satisfacción por el contratista. </t>
  </si>
  <si>
    <t>70614871610133011601020000007673</t>
  </si>
  <si>
    <t>145</t>
  </si>
  <si>
    <t>CONTRATO DE PRESTACION DE SERVICIOS PROFESIONALES</t>
  </si>
  <si>
    <t>706</t>
  </si>
  <si>
    <t>0</t>
  </si>
  <si>
    <t>1487</t>
  </si>
  <si>
    <t>1610</t>
  </si>
  <si>
    <t>Adición y prórroga al contrato 706 de 2021 cuyo objeto es "Apoyartécnicamente los procesos de formación en el marco de la implementaciónde la estrategia para el desarrollo de capacidades socioemocionales ytécnicas de las mujeres en toda su diversidad para su emprendimiento yempleabilidad".</t>
  </si>
  <si>
    <t>1000148087</t>
  </si>
  <si>
    <t>1064427260</t>
  </si>
  <si>
    <t>MARIA CARMENZA USSA TUNUBALA</t>
  </si>
  <si>
    <t>5000242512</t>
  </si>
  <si>
    <t>198389</t>
  </si>
  <si>
    <t>62814861611133011601020000007673</t>
  </si>
  <si>
    <t>628</t>
  </si>
  <si>
    <t>1486</t>
  </si>
  <si>
    <t>1611</t>
  </si>
  <si>
    <t>Adición y prórroga al contrato 628 de 2021 cuyo objeto es "Prestarservicios profesionales para apoyar la implementación de la estrategiade empleabilidad y emprendimiento para la reducción de la feminizaciónde la pobreza en las localidades que le sean asignadas por lasupervisora del contrato"</t>
  </si>
  <si>
    <t>1012069544</t>
  </si>
  <si>
    <t>1061746337</t>
  </si>
  <si>
    <t>YULIANA KAROLINA GONZALEZ HOYOS</t>
  </si>
  <si>
    <t>5000242517</t>
  </si>
  <si>
    <t>198388</t>
  </si>
  <si>
    <t>8369714041628133011601020000007673</t>
  </si>
  <si>
    <t>83697</t>
  </si>
  <si>
    <t>4</t>
  </si>
  <si>
    <t>1404</t>
  </si>
  <si>
    <t>1628</t>
  </si>
  <si>
    <t>Contratar a través de la Tienda Virtual del Estado Colombiano por mediodel Acuerdo Marco de Precios No. CCE-925-AMP-2019 Equipos Tecnológicos yperiféricos para la Secretaría Distrital de la Mujer. PC 723</t>
  </si>
  <si>
    <t>1080100021</t>
  </si>
  <si>
    <t>Maquinaria y equipo</t>
  </si>
  <si>
    <t>17</t>
  </si>
  <si>
    <t>SELEC. ABREV.  MARCO DE PRECIOS</t>
  </si>
  <si>
    <t>1000558594</t>
  </si>
  <si>
    <t>811021363</t>
  </si>
  <si>
    <t>UNIPLES SA</t>
  </si>
  <si>
    <t>5000245745</t>
  </si>
  <si>
    <t>188879</t>
  </si>
  <si>
    <t>El proceso es liderado por la OAP y de acuerdo con la información la adjudicación se dio el día 27 de diciembre y el contratista seleccionado tendrá 90 días para la entrega de los equipos por lo que se hace necesaria la constitución de la reserva dado que el pago no se realizará hasta la entrega de los equipos.</t>
  </si>
  <si>
    <t>M1 (92%) M3 (8%)</t>
  </si>
  <si>
    <t>96314881634133011601020000007673</t>
  </si>
  <si>
    <t>963</t>
  </si>
  <si>
    <t>1488</t>
  </si>
  <si>
    <t>1634</t>
  </si>
  <si>
    <t>Contratar la solución tecnológica para poner en funcionamiento elsistema de video conferencia BigBlueButton con el fin de conectar estesistema con la plataforma Moodle de la Secretaría de la Mujer. PC 1003</t>
  </si>
  <si>
    <t>1012214708</t>
  </si>
  <si>
    <t>900736431</t>
  </si>
  <si>
    <t>MINDSIT S.A.S.</t>
  </si>
  <si>
    <t>5000246174</t>
  </si>
  <si>
    <t>198576</t>
  </si>
  <si>
    <t>Reserva según OAP</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</si>
  <si>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</si>
  <si>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</si>
  <si>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</si>
  <si>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</si>
  <si>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</si>
  <si>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</si>
  <si>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</si>
  <si>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</si>
  <si>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</si>
  <si>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</si>
  <si>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</si>
  <si>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</si>
  <si>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</si>
  <si>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</si>
  <si>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</si>
  <si>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</si>
  <si>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</si>
  <si>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</si>
  <si>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</si>
  <si>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</si>
  <si>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</si>
  <si>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</si>
  <si>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</si>
  <si>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</si>
  <si>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</si>
  <si>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</si>
  <si>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</si>
  <si>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</si>
  <si>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</si>
  <si>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</si>
  <si>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</si>
  <si>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</si>
  <si>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</si>
  <si>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</si>
  <si>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</si>
  <si>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</si>
  <si>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</si>
  <si>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</si>
  <si>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</si>
  <si>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</si>
  <si>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</si>
  <si>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</si>
  <si>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</si>
  <si>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</si>
  <si>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</si>
  <si>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</si>
  <si>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</si>
  <si>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</si>
  <si>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</si>
  <si>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</si>
  <si>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</si>
  <si>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</si>
  <si>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</si>
  <si>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</si>
  <si>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</si>
  <si>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</si>
  <si>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</si>
  <si>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</si>
  <si>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</si>
  <si>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</si>
  <si>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</si>
  <si>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</si>
  <si>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</si>
  <si>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</si>
  <si>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</si>
  <si>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</si>
  <si>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</si>
  <si>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</si>
  <si>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</si>
  <si>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</si>
  <si>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</si>
  <si>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</si>
  <si>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</si>
  <si>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</si>
  <si>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</si>
  <si>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</si>
  <si>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</si>
  <si>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</si>
  <si>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</si>
  <si>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</si>
  <si>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</si>
  <si>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</si>
  <si>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</si>
  <si>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</si>
  <si>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</si>
  <si>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</si>
  <si>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</si>
  <si>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</si>
  <si>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</si>
  <si>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</si>
  <si>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</si>
  <si>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</si>
  <si>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</si>
  <si>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</si>
  <si>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</si>
  <si>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</si>
  <si>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</si>
  <si>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</si>
  <si>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</si>
  <si>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</si>
  <si>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</si>
  <si>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</si>
  <si>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</si>
  <si>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</si>
  <si>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</si>
  <si>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</si>
  <si>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</si>
  <si>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</si>
  <si>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</si>
  <si>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</si>
  <si>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</si>
  <si>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</si>
  <si>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</si>
  <si>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</si>
  <si>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</si>
  <si>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</si>
  <si>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</si>
  <si>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</si>
  <si>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</si>
  <si>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</si>
  <si>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</si>
  <si>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</si>
  <si>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</si>
  <si>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</si>
  <si>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</si>
  <si>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</si>
  <si>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</si>
  <si>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</si>
  <si>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</si>
  <si>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</si>
  <si>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</si>
  <si>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</si>
  <si>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</si>
  <si>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</si>
  <si>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</si>
  <si>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</si>
  <si>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</si>
  <si>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</si>
  <si>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</si>
  <si>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</si>
  <si>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</si>
  <si>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</si>
  <si>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</si>
  <si>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</si>
  <si>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</si>
  <si>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</si>
  <si>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</si>
  <si>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</si>
  <si>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</si>
  <si>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</si>
  <si>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</si>
  <si>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</si>
  <si>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</si>
  <si>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</si>
  <si>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</si>
  <si>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</si>
  <si>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</si>
  <si>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</si>
  <si>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</si>
  <si>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</si>
  <si>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</si>
  <si>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</si>
  <si>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</si>
  <si>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</si>
  <si>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</si>
  <si>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</si>
  <si>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</si>
  <si>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</si>
  <si>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</si>
  <si>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</si>
  <si>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</si>
  <si>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</si>
  <si>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</si>
  <si>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</si>
  <si>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</si>
  <si>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</si>
  <si>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</si>
  <si>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</si>
  <si>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</si>
  <si>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</si>
  <si>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</si>
  <si>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</si>
  <si>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</si>
  <si>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</si>
  <si>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</si>
  <si>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</si>
  <si>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</si>
  <si>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</si>
  <si>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</si>
  <si>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</si>
  <si>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</si>
  <si>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</si>
  <si>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</si>
  <si>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</si>
  <si>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</si>
  <si>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</si>
  <si>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</si>
  <si>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</si>
  <si>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</si>
  <si>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</si>
  <si>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</si>
  <si>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</si>
  <si>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</si>
  <si>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</si>
  <si>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</si>
  <si>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</si>
  <si>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</si>
  <si>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</si>
  <si>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</si>
  <si>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</si>
  <si>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</si>
  <si>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</si>
  <si>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</si>
  <si>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</si>
  <si>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</si>
  <si>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</si>
  <si>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</si>
  <si>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</si>
  <si>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</si>
  <si>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</si>
  <si>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</si>
  <si>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</si>
  <si>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</si>
  <si>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</si>
  <si>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</si>
  <si>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</si>
  <si>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Para el mes de enero, no se reportan avances de seguimiento a la meta, esto considerando que se realizó el proceso de planeación estratégica y definición de productos en el marco de lo programado para la vigencia 2022, las acciones de ejecución se centraron en la formalización de los procesos precontractuales.</t>
  </si>
  <si>
    <t>Para el mes de enero, no se reportan avances de seguimiento a la meta, esto considerando que se realizó el proceso de planeación estratégica y definición de productos en el marco de lo programado para la vigencia 2022, las acciones de ejecución se centraron en la formalización de los procesos precontractuales
En el mes de enero se realizó alistamiento de los procesos formativos, este alistamiento requirió la definición de la oferta 2022, articulación con el área de comunicaciones de la entidad para la convocatoria de mujeres a los primeros cursos a ofertar en el mes de febrero, inscripción de mujeres y bienvenida a las mujeres interesadas.
Anexos:
a. Oferta formativa 2022 con link de inscripción</t>
  </si>
  <si>
    <t>Para el mes de enero, no se reportan avances de seguimiento a la meta, esto considerando que se realizó el proceso de planeación estratégica y definición de productos en el marco de lo programado para la vigencia 2022. Como parte de la planeación se coordinó con el área de almacén de la entidad el cronograma de apertura de Centros de Inclusión Digital vigentes para el 2022, distribuyendo la asignación de inventarios.
Asimismo, se realizó reunión de articulación interna de la entidad para la coordinación de la apertura de la Manzana de Cuidado de Santa Fe, espacio donde se adecuará un Centro de Inclusión Digital. 
Anexos:
a.	Planeación adecuación CID Santa Fe.</t>
  </si>
  <si>
    <t>Durante el mes de enero de 2022, se dio continuidad al diplomado con la Universidad Nacional en el marco del convenio interadministrativo 835 de 2021</t>
  </si>
  <si>
    <t>Durante el mes de enero inició la revisión de las diferentes alternativas para los temas a contratar en la vigencia 2022</t>
  </si>
  <si>
    <t>Actividad no programada para el periodo de reporte</t>
  </si>
  <si>
    <t>Durante el mes de enero se avanzó en las siguientes actividades: 1. El equipo territorial asistió a cinco (5) ferias comunitarias en las localidades de Kennedy y Engativá donde se llevó a cabo difusión de la Estrategia E&amp;E, servicios de la SDMujer y programas activos de empleo y formación para el trabajo. En estos espacios se orientaron a 154 mujeres y se registraron 68 en herramienta de caracterización del equipo territorial. *Adicionalmente durante el mes de enero se orientaron y registraron 28 mujeres remitidas por diferentes áreas de la SDMujer. *Para el mes de enero el total de mujeres registradas fue de 96 y orientadas 154. 
Anexos: 1. Orientación y caracterización ciudadanas Estrategia E&amp;E Enero.</t>
  </si>
  <si>
    <t>Durante el mes de enero se avanzó en las siguientes actividades: 
1. El día 27 de enero de 2022 se participó en la Unidad Técnica de Apoyo de la Comisión Intersectorial de Mujeres, en la cual se divulgó el Decreto 332 de 2020, resolviendo las inquietudes de las personas asistentes. 2. Se brindó asistencia técnica por correo electrónico a 2 entidades y organismos del distrito y vía telefónica a 12 entidades y organismos distritales, resolviendo los requerimientos o inquietudes referentes a la implementación del Decreto 332 de 2020 y al diligenciamiento del reporte de información de cumplimiento del mismo. 
Anexos: 1. Reunión UTA 27-01-22; 2. Asistencia Técnica Alcaldía Rafael Uribe Uribe 27-01-22;  3. Asistencia Técnica IDRD 19-01-22, 9.2.3. PLANILLA ASISTENCIA TÉCNICA DECRETO 332 DE 2020.</t>
  </si>
  <si>
    <t>Durante el mes de enero se avanzó en el diseñó entre el equipo de empleo y el equipo de generación de ingresos del cronograma de gestión y seguimiento que se llevara a cabo a través de mesas técnicas con cada uno de los programas EMRE durante este año. 
Anexos: 1. Se anexa plan de trabajo Mesas EMRE 2022.</t>
  </si>
  <si>
    <t>Durante el periodo de enero, se gestionan reuniones con la S. de desarrollo económico, S. de Ambiente para coordinar unas mesas técnicas de análisis de lecciones aprendidas en los programas de "Mujeres que reverdecen" y "Creo en Mí". En febrero se prevé realizar la misma gestión con la S. de Gobierno para los programas "Microempresa local" e "Impulso Local". Este ejercicio se considera la primera tapa de recopilación de buenas prácticas distritales para diseñar una propuesta de programa para el primer semestre de 2022.
Anexos: 1. Se anexa plan de trabajo Mesas EMRE 2022.</t>
  </si>
  <si>
    <t>Del contrato 671-2021 suscrito con la EMPRESA DE TELECOMUNICACIONES DE BOGOTÁ S.A. E.S.P. - ETB S.A. ESP para comunicaciones convergentes, por valor de $28.688.59. De los cuales van con cargo a la meta 1, el 94% correspondiente a un valor de $26.967.057,46. El saldo del 6%, por valor de $1.721.301,54 va con cargo a la meta 3.</t>
  </si>
  <si>
    <t>Ene</t>
  </si>
  <si>
    <t>En enero, no se reportan avances de seguimiento a la meta, considerando que se realizó el proceso de planeación estratégica y definición de productos en el marco de lo programado para la vigencia 2022, las acciones de ejecución se centraron en la formalización de los procesos precontractuales.</t>
  </si>
  <si>
    <t>En enero, no se reportan avances de seguimiento a la meta, considerando que se realizó el proceso de planeación estratégica y definición de productos en el marco de lo programado para la vigencia 2022, las acciones de ejecución se centraron en la revisión de alternativas precontractuales.</t>
  </si>
  <si>
    <t>Avance en ruta de divulgación: 5 ferias (Kennedy, Engativá) orientación a mujeres en programas de empleo y formación para el trabajo. Divulgación Decreto.332-2020 pautas inclusión laboral con enfoque.género. Construcción directorio: actores claves programa generación de ingreso con enfoque de género</t>
  </si>
  <si>
    <t>Programado</t>
  </si>
  <si>
    <t>Comprometido</t>
  </si>
  <si>
    <t>Girado</t>
  </si>
  <si>
    <t>PROGRAMACIÓN INICIAL VIGENCIA 2022</t>
  </si>
  <si>
    <t>Asignación recursos 2020-204 Secretaría Distrital de la Mujer / Bogotá</t>
  </si>
  <si>
    <t>2020 cierre a 31-dic</t>
  </si>
  <si>
    <t>2021 cierre a 31-dic</t>
  </si>
  <si>
    <t>Total, cuatrienio</t>
  </si>
  <si>
    <t>Meta 1. Formar 26.100 mujeres en sus derechos a través de procesos de desarrollo de capacidades en el uso TIC</t>
  </si>
  <si>
    <t>Meta 2. Diseñar 13 contenidos para el desarrollo de capacidades socioemocionales, técnicas y digitales de las mujeres, en toda su diversidad</t>
  </si>
  <si>
    <t>Meta 3. Diseñar e implementar 1 estrategia para el desarrollo de capacidades sociomecionales y técnicas de las mujeres en toda su diversidad para su emprendimiento y empleabilidad.</t>
  </si>
  <si>
    <t>Total, empleabilidad y emprendimiento / 2020-2024</t>
  </si>
  <si>
    <t>$ 15.347.355.000</t>
  </si>
  <si>
    <t>Meta proyecto inversión</t>
  </si>
  <si>
    <t>Vigencia 2022</t>
  </si>
  <si>
    <t>Vigencia 2023</t>
  </si>
  <si>
    <t>Vigencia 2024</t>
  </si>
  <si>
    <t>Gestiones para promover alianzas que contribuyan a la implementación de la estrategia de emprendimiento y empleabilidad: Reunión equipo E&amp;E y Alianzas para promover la empleabilidad de mujeres con el sector privado. Seguimiento a la articulación Coca- Cola. Revisión estado alianzas, estrategia 2022.</t>
  </si>
  <si>
    <t>Diseñar e implementar una (1) estrategía para el desarrollo de capacidades socioemocionales y técnicas de las mujeres en toda su diversidad para su emprendimiento y empleabilidad. (Estrategia E&amp;E Componente territorial)</t>
  </si>
  <si>
    <t>quitar los 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</si>
</sst>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 #,##0;\-&quot;$&quot;\ #,##0"/>
    <numFmt numFmtId="6" formatCode="&quot;$&quot;\ #,##0;[Red]\-&quot;$&quot;\ #,##0"/>
    <numFmt numFmtId="7" formatCode="&quot;$&quot;\ #,##0.00;\-&quot;$&quot;\ #,##0.00"/>
    <numFmt numFmtId="41" formatCode="_-* #,##0_-;\-* #,##0_-;_-*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0.00_-;\-&quot;$&quot;* #,##0.00_-;_-&quot;$&quot;* &quot;-&quot;??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_-[$$-240A]\ * #,##0_-;\-[$$-240A]\ * #,##0_-;_-[$$-240A]\ * &quot;-&quot;??_-;_-@_-"/>
    <numFmt numFmtId="179" formatCode="#,##0_ ;\-#,##0\ "/>
    <numFmt numFmtId="180" formatCode="0.000"/>
    <numFmt numFmtId="181" formatCode="0.00000"/>
    <numFmt numFmtId="182" formatCode="0.0000"/>
    <numFmt numFmtId="183" formatCode="&quot;$&quot;#,##0.00"/>
    <numFmt numFmtId="184" formatCode="&quot;$&quot;\ #,##0.00"/>
    <numFmt numFmtId="185" formatCode="#,###\ &quot;COP&quot;"/>
    <numFmt numFmtId="186" formatCode="#,##0.0"/>
    <numFmt numFmtId="187" formatCode="_-* #,##0\ &quot;€&quot;_-;\-* #,##0\ &quot;€&quot;_-;_-* &quot;-&quot;??\ &quot;€&quot;_-;_-@_-"/>
  </numFmts>
  <fonts count="85">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
      <sz val="11"/>
      <color rgb="FFFF0000"/>
      <name val="Calibri"/>
      <family val="2"/>
      <scheme val="minor"/>
    </font>
    <font>
      <sz val="9"/>
      <color indexed="81"/>
      <name val="Tahoma"/>
      <family val="2"/>
    </font>
    <font>
      <b/>
      <sz val="8"/>
      <name val="Times New Roman"/>
      <family val="1"/>
    </font>
    <font>
      <sz val="11"/>
      <name val="Calibri"/>
      <family val="2"/>
    </font>
    <font>
      <sz val="8"/>
      <name val="Times New Roman"/>
      <family val="1"/>
    </font>
    <font>
      <sz val="8"/>
      <name val="Calibri"/>
      <family val="2"/>
    </font>
    <font>
      <b/>
      <sz val="8"/>
      <name val="Calibri"/>
      <family val="2"/>
    </font>
    <font>
      <b/>
      <sz val="10"/>
      <name val="Times Roman"/>
    </font>
    <font>
      <b/>
      <sz val="10"/>
      <color theme="0"/>
      <name val="Times Roman"/>
    </font>
    <font>
      <b/>
      <sz val="9"/>
      <color rgb="FF000000"/>
      <name val="Tahoma"/>
      <family val="2"/>
    </font>
    <font>
      <sz val="9"/>
      <color rgb="FF000000"/>
      <name val="Tahoma"/>
      <family val="2"/>
    </font>
    <font>
      <b/>
      <sz val="9"/>
      <color indexed="81"/>
      <name val="Tahoma"/>
      <family val="2"/>
    </font>
    <font>
      <sz val="10"/>
      <color rgb="FF000000"/>
      <name val="Arial Narrow"/>
      <family val="2"/>
    </font>
    <font>
      <b/>
      <sz val="10"/>
      <name val="Arial Narrow"/>
      <family val="2"/>
    </font>
    <font>
      <b/>
      <sz val="10"/>
      <color theme="1"/>
      <name val="Arial Narrow"/>
      <family val="2"/>
    </font>
    <font>
      <sz val="10"/>
      <color theme="1"/>
      <name val="Arial Narrow"/>
      <family val="2"/>
    </font>
    <font>
      <b/>
      <sz val="10"/>
      <color theme="8" tint="-0.249977111117893"/>
      <name val="Arial Narrow"/>
      <family val="2"/>
    </font>
    <font>
      <sz val="9"/>
      <name val="Times New Roman"/>
      <family val="1"/>
    </font>
    <font>
      <sz val="8"/>
      <name val="Calibri"/>
      <family val="2"/>
      <scheme val="minor"/>
    </font>
    <font>
      <sz val="8"/>
      <name val="Arial"/>
      <family val="2"/>
    </font>
    <font>
      <b/>
      <sz val="8"/>
      <color theme="1"/>
      <name val="Calibri"/>
      <family val="2"/>
      <scheme val="minor"/>
    </font>
    <font>
      <sz val="8"/>
      <color rgb="FF0070C0"/>
      <name val="Arial"/>
      <family val="2"/>
    </font>
    <font>
      <sz val="8"/>
      <color theme="1"/>
      <name val="Maiandra GD"/>
      <family val="2"/>
    </font>
    <font>
      <b/>
      <sz val="8"/>
      <color theme="1"/>
      <name val="Maiandra GD"/>
      <family val="2"/>
    </font>
    <font>
      <sz val="8"/>
      <name val="Maiandra GD"/>
      <family val="2"/>
    </font>
    <font>
      <sz val="8"/>
      <color rgb="FFFF0000"/>
      <name val="Maiandra GD"/>
      <family val="2"/>
    </font>
    <font>
      <sz val="10"/>
      <color rgb="FFFF0000"/>
      <name val="Arial Narrow"/>
      <family val="2"/>
    </font>
    <font>
      <b/>
      <sz val="10"/>
      <color rgb="FFFF0000"/>
      <name val="Arial Narrow"/>
      <family val="2"/>
    </font>
    <font>
      <b/>
      <sz val="8"/>
      <color rgb="FFFF0000"/>
      <name val="Maiandra GD"/>
      <family val="2"/>
    </font>
    <font>
      <sz val="8"/>
      <name val="Arial Narrow"/>
      <family val="2"/>
    </font>
    <font>
      <sz val="10"/>
      <color theme="1"/>
      <name val="Arial"/>
      <family val="2"/>
    </font>
    <font>
      <b/>
      <sz val="8"/>
      <color theme="1"/>
      <name val="Verdana"/>
      <family val="2"/>
    </font>
    <font>
      <sz val="8"/>
      <color theme="1"/>
      <name val="Calibri"/>
      <family val="2"/>
      <scheme val="minor"/>
    </font>
    <font>
      <sz val="8"/>
      <color theme="1"/>
      <name val="Verdana"/>
      <family val="2"/>
    </font>
    <font>
      <sz val="11"/>
      <color rgb="FF0D0D0D"/>
      <name val="Times New Roman"/>
      <family val="1"/>
    </font>
    <font>
      <b/>
      <sz val="11"/>
      <color indexed="8"/>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b/>
      <sz val="9"/>
      <color rgb="FFFFFFFF"/>
      <name val="Times New Roman"/>
      <family val="1"/>
    </font>
    <font>
      <sz val="9"/>
      <color rgb="FF000000"/>
      <name val="Times New Roman"/>
      <family val="1"/>
    </font>
    <font>
      <b/>
      <sz val="9"/>
      <color rgb="FF000000"/>
      <name val="Times New Roman"/>
      <family val="1"/>
    </font>
    <font>
      <b/>
      <sz val="10"/>
      <color indexed="81"/>
      <name val="Tahoma"/>
      <family val="2"/>
    </font>
    <font>
      <sz val="10"/>
      <color indexed="81"/>
      <name val="Tahoma"/>
      <family val="2"/>
    </font>
  </fonts>
  <fills count="41">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rgb="FF00B0F0"/>
        <bgColor indexed="64"/>
      </patternFill>
    </fill>
    <fill>
      <patternFill patternType="solid">
        <fgColor rgb="FFFFFFCC"/>
        <bgColor rgb="FFFFFFCC"/>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theme="9" tint="0.39997558519241921"/>
        <bgColor indexed="64"/>
      </patternFill>
    </fill>
    <fill>
      <patternFill patternType="solid">
        <fgColor rgb="FFCC99FF"/>
        <bgColor indexed="64"/>
      </patternFill>
    </fill>
    <fill>
      <patternFill patternType="solid">
        <fgColor rgb="FFFFFF00"/>
        <bgColor rgb="FF000000"/>
      </patternFill>
    </fill>
    <fill>
      <patternFill patternType="solid">
        <fgColor rgb="FF59F0D1"/>
        <bgColor indexed="64"/>
      </patternFill>
    </fill>
    <fill>
      <patternFill patternType="solid">
        <fgColor rgb="FF59F0D1"/>
        <bgColor rgb="FF000000"/>
      </patternFill>
    </fill>
    <fill>
      <patternFill patternType="solid">
        <fgColor indexed="22"/>
        <bgColor indexed="64"/>
      </patternFill>
    </fill>
    <fill>
      <patternFill patternType="solid">
        <fgColor rgb="FFFF6699"/>
        <bgColor indexed="64"/>
      </patternFill>
    </fill>
    <fill>
      <patternFill patternType="solid">
        <fgColor rgb="FFFF0000"/>
        <bgColor indexed="64"/>
      </patternFill>
    </fill>
    <fill>
      <patternFill patternType="solid">
        <fgColor rgb="FF7030A0"/>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medium">
        <color rgb="FF0070C0"/>
      </left>
      <right style="thin">
        <color rgb="FF0070C0"/>
      </right>
      <top/>
      <bottom style="thin">
        <color rgb="FF0070C0"/>
      </bottom>
      <diagonal/>
    </border>
    <border>
      <left style="thin">
        <color rgb="FF0070C0"/>
      </left>
      <right style="thin">
        <color rgb="FF0070C0"/>
      </right>
      <top/>
      <bottom style="thin">
        <color rgb="FF0070C0"/>
      </bottom>
      <diagonal/>
    </border>
    <border>
      <left style="thin">
        <color rgb="FF0070C0"/>
      </left>
      <right style="medium">
        <color rgb="FF0070C0"/>
      </right>
      <top/>
      <bottom style="thin">
        <color rgb="FF0070C0"/>
      </bottom>
      <diagonal/>
    </border>
    <border>
      <left style="medium">
        <color rgb="FF0070C0"/>
      </left>
      <right style="thin">
        <color rgb="FF0070C0"/>
      </right>
      <top style="medium">
        <color rgb="FF0070C0"/>
      </top>
      <bottom style="medium">
        <color rgb="FF0070C0"/>
      </bottom>
      <diagonal/>
    </border>
    <border>
      <left style="thin">
        <color rgb="FF0070C0"/>
      </left>
      <right style="thin">
        <color rgb="FF0070C0"/>
      </right>
      <top style="medium">
        <color rgb="FF0070C0"/>
      </top>
      <bottom style="medium">
        <color rgb="FF0070C0"/>
      </bottom>
      <diagonal/>
    </border>
    <border>
      <left style="thin">
        <color rgb="FF0070C0"/>
      </left>
      <right style="medium">
        <color rgb="FF0070C0"/>
      </right>
      <top style="medium">
        <color rgb="FF0070C0"/>
      </top>
      <bottom style="medium">
        <color rgb="FF0070C0"/>
      </bottom>
      <diagonal/>
    </border>
    <border>
      <left style="medium">
        <color rgb="FF0070C0"/>
      </left>
      <right style="thin">
        <color rgb="FF0070C0"/>
      </right>
      <top style="thin">
        <color rgb="FF0070C0"/>
      </top>
      <bottom/>
      <diagonal/>
    </border>
    <border>
      <left style="thin">
        <color rgb="FF0070C0"/>
      </left>
      <right style="thin">
        <color rgb="FF0070C0"/>
      </right>
      <top style="thin">
        <color rgb="FF0070C0"/>
      </top>
      <bottom/>
      <diagonal/>
    </border>
    <border>
      <left style="thin">
        <color rgb="FF0070C0"/>
      </left>
      <right style="medium">
        <color rgb="FF0070C0"/>
      </right>
      <top style="thin">
        <color rgb="FF0070C0"/>
      </top>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36">
    <xf numFmtId="0" fontId="0" fillId="0" borderId="0"/>
    <xf numFmtId="0" fontId="20" fillId="3" borderId="66" applyNumberFormat="0" applyAlignment="0" applyProtection="0"/>
    <xf numFmtId="49" fontId="22" fillId="0" borderId="0" applyFill="0" applyBorder="0" applyProtection="0">
      <alignment horizontal="left" vertical="center"/>
    </xf>
    <xf numFmtId="0" fontId="23" fillId="4" borderId="67" applyNumberFormat="0" applyFont="0" applyFill="0" applyAlignment="0"/>
    <xf numFmtId="0" fontId="23" fillId="4" borderId="68" applyNumberFormat="0" applyFont="0" applyFill="0" applyAlignment="0"/>
    <xf numFmtId="0" fontId="25" fillId="5" borderId="0" applyNumberFormat="0" applyProtection="0">
      <alignment horizontal="left" wrapText="1" indent="4"/>
    </xf>
    <xf numFmtId="0" fontId="26" fillId="5" borderId="0" applyNumberFormat="0" applyProtection="0">
      <alignment horizontal="left" wrapText="1" indent="4"/>
    </xf>
    <xf numFmtId="0" fontId="24"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8"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168" fontId="5" fillId="0" borderId="0" applyFont="0" applyFill="0" applyBorder="0" applyAlignment="0" applyProtection="0"/>
    <xf numFmtId="167" fontId="20" fillId="0" borderId="0" applyFont="0" applyFill="0" applyBorder="0" applyAlignment="0" applyProtection="0"/>
    <xf numFmtId="165" fontId="20" fillId="0" borderId="0" applyFont="0" applyFill="0" applyBorder="0" applyAlignment="0" applyProtection="0"/>
    <xf numFmtId="169" fontId="20" fillId="0" borderId="0" applyFont="0" applyFill="0" applyBorder="0" applyAlignment="0" applyProtection="0"/>
    <xf numFmtId="171" fontId="2" fillId="0" borderId="0" applyFont="0" applyFill="0" applyBorder="0" applyAlignment="0" applyProtection="0"/>
    <xf numFmtId="170" fontId="20" fillId="0" borderId="0" applyFont="0" applyFill="0" applyBorder="0" applyAlignment="0" applyProtection="0"/>
    <xf numFmtId="169" fontId="1" fillId="0" borderId="0" applyFont="0" applyFill="0" applyBorder="0" applyAlignment="0" applyProtection="0"/>
    <xf numFmtId="164"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5" borderId="0" applyNumberFormat="0" applyBorder="0" applyProtection="0">
      <alignment horizontal="left" indent="1"/>
    </xf>
    <xf numFmtId="0" fontId="21" fillId="25" borderId="0" applyNumberFormat="0" applyBorder="0" applyAlignment="0" applyProtection="0"/>
    <xf numFmtId="185" fontId="71" fillId="0" borderId="0" applyFont="0" applyFill="0" applyBorder="0" applyAlignment="0" applyProtection="0"/>
  </cellStyleXfs>
  <cellXfs count="974">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0"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6" fontId="12" fillId="0" borderId="10" xfId="11" applyFont="1" applyFill="1" applyBorder="1" applyAlignment="1" applyProtection="1">
      <alignment horizontal="center" vertical="center" wrapText="1"/>
    </xf>
    <xf numFmtId="165" fontId="20"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5" fontId="31"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1"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2" fillId="0" borderId="0" xfId="0" applyFont="1" applyAlignment="1">
      <alignment vertical="center"/>
    </xf>
    <xf numFmtId="0" fontId="34" fillId="9"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4" fillId="0" borderId="1" xfId="0" applyFont="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4" fillId="0" borderId="1" xfId="0" applyFont="1" applyBorder="1" applyAlignment="1">
      <alignment horizontal="center"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15"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1"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1" fillId="0" borderId="14" xfId="22" applyFont="1" applyBorder="1" applyAlignment="1">
      <alignment vertical="center" wrapText="1"/>
    </xf>
    <xf numFmtId="173" fontId="20" fillId="0" borderId="1" xfId="10" applyNumberFormat="1" applyFont="1" applyBorder="1" applyAlignment="1">
      <alignment vertical="center"/>
    </xf>
    <xf numFmtId="173" fontId="20" fillId="0" borderId="8" xfId="10" applyNumberFormat="1" applyFont="1" applyBorder="1" applyAlignment="1">
      <alignment vertical="center"/>
    </xf>
    <xf numFmtId="173" fontId="20" fillId="0" borderId="31" xfId="10" applyNumberFormat="1" applyFont="1" applyBorder="1" applyAlignment="1">
      <alignment vertical="center"/>
    </xf>
    <xf numFmtId="173" fontId="20" fillId="0" borderId="19" xfId="10" applyNumberFormat="1" applyFont="1" applyBorder="1" applyAlignment="1">
      <alignment vertical="center"/>
    </xf>
    <xf numFmtId="173" fontId="20" fillId="0" borderId="4" xfId="10" applyNumberFormat="1" applyFont="1" applyBorder="1" applyAlignment="1">
      <alignment vertical="center"/>
    </xf>
    <xf numFmtId="173" fontId="20" fillId="0" borderId="32" xfId="10" applyNumberFormat="1" applyFont="1" applyBorder="1" applyAlignment="1">
      <alignment vertical="center"/>
    </xf>
    <xf numFmtId="9" fontId="20" fillId="0" borderId="9" xfId="28" applyFont="1" applyBorder="1" applyAlignment="1">
      <alignment vertical="center"/>
    </xf>
    <xf numFmtId="9" fontId="20" fillId="0" borderId="33" xfId="28" applyFont="1" applyBorder="1" applyAlignment="1">
      <alignment vertical="center"/>
    </xf>
    <xf numFmtId="9" fontId="20"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0" fontId="17" fillId="0" borderId="1" xfId="0" applyFont="1" applyBorder="1" applyAlignment="1">
      <alignment horizontal="center" vertical="center" wrapText="1"/>
    </xf>
    <xf numFmtId="3" fontId="32" fillId="0" borderId="1" xfId="0" applyNumberFormat="1" applyFont="1" applyBorder="1" applyAlignment="1">
      <alignment horizontal="center" vertical="center"/>
    </xf>
    <xf numFmtId="0" fontId="12" fillId="9" borderId="10" xfId="0" applyFont="1" applyFill="1" applyBorder="1" applyAlignment="1">
      <alignment horizontal="center" vertical="center" wrapText="1"/>
    </xf>
    <xf numFmtId="2" fontId="12" fillId="0" borderId="10" xfId="22" applyNumberFormat="1" applyFont="1" applyBorder="1" applyAlignment="1">
      <alignment horizontal="center" vertical="center" wrapText="1"/>
    </xf>
    <xf numFmtId="0" fontId="12" fillId="9" borderId="10" xfId="22" applyFont="1" applyFill="1" applyBorder="1" applyAlignment="1">
      <alignment horizontal="left" vertical="center" wrapText="1"/>
    </xf>
    <xf numFmtId="9" fontId="33" fillId="9" borderId="10" xfId="30" applyFont="1" applyFill="1" applyBorder="1" applyAlignment="1" applyProtection="1">
      <alignment vertical="center" wrapText="1"/>
    </xf>
    <xf numFmtId="174" fontId="12" fillId="9" borderId="10" xfId="28" applyNumberFormat="1" applyFont="1" applyFill="1" applyBorder="1" applyAlignment="1" applyProtection="1">
      <alignment vertical="center" wrapText="1"/>
    </xf>
    <xf numFmtId="9" fontId="12" fillId="9" borderId="10" xfId="28" applyFont="1" applyFill="1" applyBorder="1" applyAlignment="1" applyProtection="1">
      <alignment horizontal="center" vertical="center" wrapText="1"/>
    </xf>
    <xf numFmtId="9" fontId="12" fillId="0" borderId="1" xfId="22" applyNumberFormat="1" applyFont="1" applyBorder="1" applyAlignment="1">
      <alignment horizontal="center" vertical="center" wrapText="1"/>
    </xf>
    <xf numFmtId="0" fontId="31" fillId="26" borderId="47" xfId="0" applyFont="1" applyFill="1" applyBorder="1" applyAlignment="1">
      <alignment horizontal="center" vertical="center" wrapText="1"/>
    </xf>
    <xf numFmtId="0" fontId="31" fillId="26" borderId="48" xfId="0" applyFont="1" applyFill="1" applyBorder="1" applyAlignment="1">
      <alignment horizontal="center" vertical="center" wrapText="1"/>
    </xf>
    <xf numFmtId="4" fontId="0" fillId="0" borderId="1" xfId="0" applyNumberFormat="1" applyBorder="1" applyAlignment="1">
      <alignment horizontal="right" vertical="center"/>
    </xf>
    <xf numFmtId="4" fontId="31" fillId="26" borderId="1" xfId="0" applyNumberFormat="1" applyFont="1" applyFill="1" applyBorder="1" applyAlignment="1">
      <alignment horizontal="right" vertical="center"/>
    </xf>
    <xf numFmtId="4" fontId="31" fillId="26" borderId="9" xfId="0" applyNumberFormat="1" applyFont="1" applyFill="1" applyBorder="1" applyAlignment="1">
      <alignment horizontal="right" vertical="center"/>
    </xf>
    <xf numFmtId="4" fontId="0" fillId="26" borderId="1" xfId="0" applyNumberFormat="1" applyFill="1" applyBorder="1" applyAlignment="1">
      <alignment horizontal="right" vertical="center"/>
    </xf>
    <xf numFmtId="4" fontId="0" fillId="26" borderId="19" xfId="0" applyNumberFormat="1" applyFill="1" applyBorder="1" applyAlignment="1">
      <alignment horizontal="right" vertical="center"/>
    </xf>
    <xf numFmtId="179" fontId="12" fillId="0" borderId="10" xfId="10" applyNumberFormat="1" applyFont="1" applyFill="1" applyBorder="1" applyAlignment="1" applyProtection="1">
      <alignment horizontal="center" vertical="center" wrapText="1"/>
    </xf>
    <xf numFmtId="9" fontId="0" fillId="0" borderId="0" xfId="28" applyFont="1" applyAlignment="1">
      <alignment horizontal="center" vertical="center"/>
    </xf>
    <xf numFmtId="4" fontId="0" fillId="0" borderId="9" xfId="0" applyNumberFormat="1" applyBorder="1" applyAlignment="1">
      <alignment vertical="center"/>
    </xf>
    <xf numFmtId="4" fontId="0" fillId="26" borderId="9" xfId="0" applyNumberFormat="1" applyFill="1" applyBorder="1" applyAlignment="1">
      <alignment vertical="center"/>
    </xf>
    <xf numFmtId="4" fontId="0" fillId="26" borderId="33" xfId="0" applyNumberFormat="1" applyFill="1" applyBorder="1" applyAlignment="1">
      <alignment vertical="center"/>
    </xf>
    <xf numFmtId="9" fontId="0" fillId="0" borderId="0" xfId="0" applyNumberFormat="1" applyAlignment="1">
      <alignment horizontal="center" vertical="center"/>
    </xf>
    <xf numFmtId="9" fontId="31" fillId="0" borderId="0" xfId="0" applyNumberFormat="1" applyFont="1" applyAlignment="1">
      <alignment horizontal="center" vertical="center"/>
    </xf>
    <xf numFmtId="0" fontId="45" fillId="0" borderId="0" xfId="0" applyFont="1"/>
    <xf numFmtId="0" fontId="46" fillId="0" borderId="0" xfId="0" applyFont="1"/>
    <xf numFmtId="0" fontId="44" fillId="0" borderId="0" xfId="0" applyFont="1"/>
    <xf numFmtId="0" fontId="43" fillId="28" borderId="76" xfId="0" applyFont="1" applyFill="1" applyBorder="1" applyAlignment="1">
      <alignment horizontal="center" vertical="center" wrapText="1"/>
    </xf>
    <xf numFmtId="0" fontId="43" fillId="0" borderId="76" xfId="0" applyFont="1" applyBorder="1" applyAlignment="1">
      <alignment horizontal="center" vertical="center" wrapText="1"/>
    </xf>
    <xf numFmtId="0" fontId="46" fillId="0" borderId="0" xfId="0" applyFont="1" applyAlignment="1">
      <alignment horizontal="center" vertical="center"/>
    </xf>
    <xf numFmtId="0" fontId="43" fillId="29" borderId="76" xfId="0" applyFont="1" applyFill="1" applyBorder="1" applyAlignment="1">
      <alignment horizontal="center" vertical="center" wrapText="1"/>
    </xf>
    <xf numFmtId="180" fontId="46" fillId="29" borderId="0" xfId="0" applyNumberFormat="1" applyFont="1" applyFill="1" applyAlignment="1">
      <alignment horizontal="center" vertical="center"/>
    </xf>
    <xf numFmtId="180" fontId="47" fillId="29" borderId="0" xfId="0" applyNumberFormat="1" applyFont="1" applyFill="1" applyAlignment="1">
      <alignment horizontal="center" vertical="center"/>
    </xf>
    <xf numFmtId="0" fontId="46" fillId="30" borderId="0" xfId="0" applyFont="1" applyFill="1" applyAlignment="1">
      <alignment horizontal="center" vertical="center"/>
    </xf>
    <xf numFmtId="181" fontId="47" fillId="30" borderId="0" xfId="0" applyNumberFormat="1" applyFont="1" applyFill="1" applyAlignment="1">
      <alignment horizontal="center" vertical="center"/>
    </xf>
    <xf numFmtId="0" fontId="45" fillId="31" borderId="0" xfId="0" applyFont="1" applyFill="1" applyAlignment="1">
      <alignment vertical="center"/>
    </xf>
    <xf numFmtId="182" fontId="46" fillId="31" borderId="0" xfId="0" applyNumberFormat="1" applyFont="1" applyFill="1" applyAlignment="1">
      <alignment horizontal="center" vertical="center"/>
    </xf>
    <xf numFmtId="180" fontId="46" fillId="31" borderId="0" xfId="0" applyNumberFormat="1" applyFont="1" applyFill="1" applyAlignment="1">
      <alignment horizontal="center" vertical="center"/>
    </xf>
    <xf numFmtId="0" fontId="4" fillId="0" borderId="0" xfId="0" applyFont="1" applyAlignment="1">
      <alignment vertical="center"/>
    </xf>
    <xf numFmtId="0" fontId="45" fillId="0" borderId="0" xfId="0" applyFont="1" applyAlignment="1">
      <alignment vertical="center"/>
    </xf>
    <xf numFmtId="0" fontId="12" fillId="20" borderId="10" xfId="22" applyFont="1" applyFill="1" applyBorder="1" applyAlignment="1">
      <alignment horizontal="center" vertical="center" wrapText="1"/>
    </xf>
    <xf numFmtId="0" fontId="12" fillId="0" borderId="47" xfId="22" applyFont="1" applyBorder="1" applyAlignment="1">
      <alignment horizontal="left" vertical="center" wrapText="1"/>
    </xf>
    <xf numFmtId="9" fontId="11" fillId="0" borderId="47" xfId="29" applyFont="1" applyFill="1" applyBorder="1" applyAlignment="1" applyProtection="1">
      <alignment horizontal="center" vertical="center" wrapText="1"/>
      <protection locked="0"/>
    </xf>
    <xf numFmtId="182" fontId="12" fillId="0" borderId="10" xfId="22" applyNumberFormat="1" applyFont="1" applyBorder="1" applyAlignment="1">
      <alignment horizontal="center" vertical="center" wrapText="1"/>
    </xf>
    <xf numFmtId="5" fontId="20" fillId="0" borderId="32" xfId="10" applyNumberFormat="1" applyFont="1" applyBorder="1" applyAlignment="1">
      <alignment vertical="center"/>
    </xf>
    <xf numFmtId="5" fontId="20" fillId="0" borderId="1" xfId="10" applyNumberFormat="1" applyFont="1" applyBorder="1" applyAlignment="1">
      <alignment vertical="center"/>
    </xf>
    <xf numFmtId="0" fontId="48" fillId="32" borderId="1" xfId="34" applyFont="1" applyFill="1" applyBorder="1" applyAlignment="1">
      <alignment horizontal="center" vertical="center" wrapText="1"/>
    </xf>
    <xf numFmtId="0" fontId="48" fillId="33" borderId="1" xfId="34" applyFont="1" applyFill="1" applyBorder="1" applyAlignment="1">
      <alignment horizontal="center" vertical="center" wrapText="1"/>
    </xf>
    <xf numFmtId="0" fontId="48" fillId="15" borderId="1" xfId="34" applyFont="1" applyFill="1" applyBorder="1" applyAlignment="1">
      <alignment horizontal="center" vertical="center" wrapText="1"/>
    </xf>
    <xf numFmtId="41" fontId="48" fillId="15" borderId="1" xfId="12" applyFont="1" applyFill="1" applyBorder="1" applyAlignment="1">
      <alignment horizontal="center" vertical="center" wrapText="1"/>
    </xf>
    <xf numFmtId="165" fontId="48" fillId="15" borderId="1" xfId="15" applyFont="1" applyFill="1" applyBorder="1" applyAlignment="1">
      <alignment horizontal="center" vertical="center" wrapText="1"/>
    </xf>
    <xf numFmtId="183" fontId="48" fillId="15" borderId="1" xfId="34" applyNumberFormat="1" applyFont="1" applyFill="1" applyBorder="1" applyAlignment="1">
      <alignment horizontal="center" vertical="center" wrapText="1"/>
    </xf>
    <xf numFmtId="183" fontId="49" fillId="0" borderId="1" xfId="34" applyNumberFormat="1" applyFont="1" applyFill="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33" borderId="1" xfId="0" applyFont="1" applyFill="1" applyBorder="1" applyAlignment="1">
      <alignment horizontal="center" vertical="center"/>
    </xf>
    <xf numFmtId="0" fontId="5" fillId="0" borderId="1" xfId="0" applyFont="1" applyBorder="1" applyAlignment="1">
      <alignment horizontal="right" vertical="center"/>
    </xf>
    <xf numFmtId="9" fontId="5" fillId="0" borderId="1" xfId="28" applyFont="1" applyFill="1" applyBorder="1" applyAlignment="1">
      <alignment horizontal="center" vertical="center"/>
    </xf>
    <xf numFmtId="0" fontId="5" fillId="34" borderId="1" xfId="0" applyFont="1" applyFill="1" applyBorder="1" applyAlignment="1">
      <alignment vertical="center"/>
    </xf>
    <xf numFmtId="0" fontId="53" fillId="0" borderId="1" xfId="0" applyFont="1" applyBorder="1" applyAlignment="1">
      <alignment horizontal="left" vertical="center"/>
    </xf>
    <xf numFmtId="0" fontId="5" fillId="0" borderId="1" xfId="0" applyFont="1" applyBorder="1" applyAlignment="1">
      <alignment vertical="center"/>
    </xf>
    <xf numFmtId="4" fontId="5" fillId="0" borderId="1" xfId="0" applyNumberFormat="1" applyFont="1" applyBorder="1" applyAlignment="1">
      <alignment horizontal="right" vertical="center"/>
    </xf>
    <xf numFmtId="0" fontId="54" fillId="0" borderId="0" xfId="0" applyFont="1"/>
    <xf numFmtId="15" fontId="55" fillId="0" borderId="0" xfId="0" applyNumberFormat="1" applyFont="1" applyAlignment="1">
      <alignment horizontal="center" vertical="center" wrapText="1"/>
    </xf>
    <xf numFmtId="0" fontId="55" fillId="0" borderId="0" xfId="0" applyFont="1" applyAlignment="1">
      <alignment horizontal="center" vertical="center" wrapText="1"/>
    </xf>
    <xf numFmtId="0" fontId="55" fillId="0" borderId="0" xfId="0" applyFont="1" applyAlignment="1">
      <alignment wrapText="1"/>
    </xf>
    <xf numFmtId="0" fontId="56" fillId="0" borderId="0" xfId="0" applyFont="1" applyAlignment="1">
      <alignment wrapText="1"/>
    </xf>
    <xf numFmtId="0" fontId="5" fillId="34" borderId="4" xfId="0" applyFont="1" applyFill="1" applyBorder="1" applyAlignment="1">
      <alignment vertical="center"/>
    </xf>
    <xf numFmtId="0" fontId="5" fillId="0" borderId="0" xfId="0" applyFont="1"/>
    <xf numFmtId="0" fontId="54" fillId="0" borderId="0" xfId="0" applyFont="1" applyAlignment="1">
      <alignment wrapText="1"/>
    </xf>
    <xf numFmtId="0" fontId="57" fillId="0" borderId="0" xfId="0" applyFont="1" applyAlignment="1">
      <alignment vertical="center"/>
    </xf>
    <xf numFmtId="14" fontId="56" fillId="0" borderId="0" xfId="0" applyNumberFormat="1" applyFont="1" applyAlignment="1">
      <alignment wrapText="1"/>
    </xf>
    <xf numFmtId="0" fontId="57" fillId="24" borderId="0" xfId="0" applyFont="1" applyFill="1" applyAlignment="1">
      <alignment vertical="center"/>
    </xf>
    <xf numFmtId="0" fontId="5" fillId="0" borderId="0" xfId="0" applyFont="1" applyAlignment="1">
      <alignment vertical="center"/>
    </xf>
    <xf numFmtId="169" fontId="5" fillId="0" borderId="1" xfId="16" applyFont="1" applyBorder="1" applyAlignment="1">
      <alignment horizontal="left" vertical="center"/>
    </xf>
    <xf numFmtId="168" fontId="58" fillId="0" borderId="4" xfId="0" applyNumberFormat="1" applyFont="1" applyBorder="1" applyAlignment="1">
      <alignment horizontal="right" vertical="center" wrapText="1"/>
    </xf>
    <xf numFmtId="0" fontId="58" fillId="0" borderId="4" xfId="0" applyFont="1" applyBorder="1" applyAlignment="1">
      <alignment vertical="center"/>
    </xf>
    <xf numFmtId="0" fontId="5" fillId="35" borderId="1" xfId="0" applyFont="1" applyFill="1" applyBorder="1" applyAlignment="1">
      <alignment horizontal="left" vertical="center"/>
    </xf>
    <xf numFmtId="0" fontId="5" fillId="35" borderId="1" xfId="0" applyFont="1" applyFill="1" applyBorder="1" applyAlignment="1">
      <alignment horizontal="center" vertical="center"/>
    </xf>
    <xf numFmtId="0" fontId="5" fillId="35" borderId="1" xfId="0" applyFont="1" applyFill="1" applyBorder="1" applyAlignment="1">
      <alignment horizontal="right" vertical="center"/>
    </xf>
    <xf numFmtId="9" fontId="5" fillId="35" borderId="1" xfId="28" applyFont="1" applyFill="1" applyBorder="1" applyAlignment="1">
      <alignment horizontal="center" vertical="center"/>
    </xf>
    <xf numFmtId="0" fontId="58" fillId="35" borderId="4" xfId="0" applyFont="1" applyFill="1" applyBorder="1" applyAlignment="1">
      <alignment vertical="center" wrapText="1"/>
    </xf>
    <xf numFmtId="0" fontId="58" fillId="36" borderId="25" xfId="0" applyFont="1" applyFill="1" applyBorder="1" applyAlignment="1">
      <alignment vertical="center"/>
    </xf>
    <xf numFmtId="0" fontId="5" fillId="35" borderId="1" xfId="0" applyFont="1" applyFill="1" applyBorder="1" applyAlignment="1">
      <alignment vertical="center"/>
    </xf>
    <xf numFmtId="168" fontId="58" fillId="35" borderId="4" xfId="0" applyNumberFormat="1" applyFont="1" applyFill="1" applyBorder="1" applyAlignment="1">
      <alignment horizontal="right" vertical="center" wrapText="1"/>
    </xf>
    <xf numFmtId="168" fontId="5" fillId="35" borderId="1" xfId="0" applyNumberFormat="1" applyFont="1" applyFill="1" applyBorder="1" applyAlignment="1">
      <alignment vertical="center"/>
    </xf>
    <xf numFmtId="0" fontId="58" fillId="35" borderId="4" xfId="0" applyFont="1" applyFill="1" applyBorder="1" applyAlignment="1">
      <alignment vertical="center"/>
    </xf>
    <xf numFmtId="0" fontId="5" fillId="18" borderId="1" xfId="0" applyFont="1" applyFill="1" applyBorder="1" applyAlignment="1">
      <alignment horizontal="left" vertical="center"/>
    </xf>
    <xf numFmtId="0" fontId="5" fillId="18" borderId="1" xfId="0" applyFont="1" applyFill="1" applyBorder="1" applyAlignment="1">
      <alignment horizontal="center" vertical="center"/>
    </xf>
    <xf numFmtId="0" fontId="5" fillId="18" borderId="1" xfId="0" applyFont="1" applyFill="1" applyBorder="1" applyAlignment="1">
      <alignment horizontal="right" vertical="center"/>
    </xf>
    <xf numFmtId="9" fontId="5" fillId="18" borderId="1" xfId="28" applyFont="1" applyFill="1" applyBorder="1" applyAlignment="1">
      <alignment horizontal="center" vertical="center"/>
    </xf>
    <xf numFmtId="0" fontId="5" fillId="18" borderId="1" xfId="0" applyFont="1" applyFill="1" applyBorder="1" applyAlignment="1">
      <alignment vertical="center"/>
    </xf>
    <xf numFmtId="4" fontId="5" fillId="18" borderId="1" xfId="0" applyNumberFormat="1" applyFont="1" applyFill="1" applyBorder="1" applyAlignment="1">
      <alignment horizontal="right" vertical="center"/>
    </xf>
    <xf numFmtId="0" fontId="5" fillId="18" borderId="0" xfId="0" applyFont="1" applyFill="1"/>
    <xf numFmtId="15" fontId="55" fillId="18" borderId="0" xfId="0" applyNumberFormat="1" applyFont="1" applyFill="1" applyAlignment="1">
      <alignment horizontal="center" vertical="center" wrapText="1"/>
    </xf>
    <xf numFmtId="0" fontId="56" fillId="18" borderId="0" xfId="0" applyFont="1" applyFill="1" applyAlignment="1">
      <alignment wrapText="1"/>
    </xf>
    <xf numFmtId="4" fontId="56" fillId="18" borderId="0" xfId="0" applyNumberFormat="1" applyFont="1" applyFill="1" applyAlignment="1">
      <alignment wrapText="1"/>
    </xf>
    <xf numFmtId="0" fontId="0" fillId="18" borderId="0" xfId="0" applyFill="1"/>
    <xf numFmtId="0" fontId="53" fillId="18" borderId="1" xfId="0" applyFont="1" applyFill="1" applyBorder="1" applyAlignment="1">
      <alignment horizontal="left" vertical="center"/>
    </xf>
    <xf numFmtId="9" fontId="5" fillId="18" borderId="1" xfId="28" applyFont="1" applyFill="1" applyBorder="1" applyAlignment="1">
      <alignment horizontal="left" vertical="center"/>
    </xf>
    <xf numFmtId="169" fontId="5" fillId="18" borderId="1" xfId="16" applyFont="1" applyFill="1" applyBorder="1" applyAlignment="1">
      <alignment horizontal="left" vertical="center"/>
    </xf>
    <xf numFmtId="0" fontId="56" fillId="18" borderId="0" xfId="0" applyFont="1" applyFill="1"/>
    <xf numFmtId="0" fontId="5" fillId="18" borderId="1" xfId="10" applyNumberFormat="1" applyFont="1" applyFill="1" applyBorder="1" applyAlignment="1">
      <alignment horizontal="center" vertical="center"/>
    </xf>
    <xf numFmtId="168" fontId="58" fillId="18" borderId="1" xfId="0" applyNumberFormat="1" applyFont="1" applyFill="1" applyBorder="1" applyAlignment="1">
      <alignment horizontal="right" vertical="center" wrapText="1"/>
    </xf>
    <xf numFmtId="0" fontId="58" fillId="18" borderId="1" xfId="0" applyFont="1" applyFill="1" applyBorder="1" applyAlignment="1">
      <alignment vertical="center"/>
    </xf>
    <xf numFmtId="0" fontId="58" fillId="18" borderId="0" xfId="0" applyFont="1" applyFill="1"/>
    <xf numFmtId="0" fontId="31" fillId="0" borderId="0" xfId="0" applyFont="1"/>
    <xf numFmtId="3" fontId="34" fillId="9" borderId="1" xfId="0" applyNumberFormat="1" applyFont="1" applyFill="1" applyBorder="1" applyAlignment="1">
      <alignment horizontal="center" vertical="center" wrapText="1"/>
    </xf>
    <xf numFmtId="3" fontId="32" fillId="0" borderId="0" xfId="0" applyNumberFormat="1" applyFont="1" applyAlignment="1">
      <alignment horizontal="center" vertical="center"/>
    </xf>
    <xf numFmtId="0" fontId="60" fillId="0" borderId="0" xfId="0" applyFont="1" applyAlignment="1">
      <alignment vertical="center" wrapText="1"/>
    </xf>
    <xf numFmtId="0" fontId="60" fillId="37" borderId="1" xfId="0" applyFont="1" applyFill="1" applyBorder="1" applyAlignment="1">
      <alignment vertical="center" wrapText="1"/>
    </xf>
    <xf numFmtId="0" fontId="60" fillId="24" borderId="1" xfId="0" applyFont="1" applyFill="1" applyBorder="1" applyAlignment="1">
      <alignment vertical="center" wrapText="1"/>
    </xf>
    <xf numFmtId="4" fontId="61" fillId="14" borderId="1" xfId="0" applyNumberFormat="1" applyFont="1" applyFill="1" applyBorder="1" applyAlignment="1">
      <alignment horizontal="center" vertical="center" wrapText="1"/>
    </xf>
    <xf numFmtId="0" fontId="62" fillId="0" borderId="0" xfId="0" applyFont="1" applyAlignment="1">
      <alignment vertical="top"/>
    </xf>
    <xf numFmtId="0" fontId="60" fillId="0" borderId="0" xfId="0" applyFont="1" applyAlignment="1">
      <alignment vertical="top"/>
    </xf>
    <xf numFmtId="14" fontId="60" fillId="0" borderId="0" xfId="0" applyNumberFormat="1" applyFont="1" applyAlignment="1">
      <alignment horizontal="right" vertical="top"/>
    </xf>
    <xf numFmtId="3" fontId="62" fillId="0" borderId="0" xfId="0" applyNumberFormat="1" applyFont="1" applyAlignment="1">
      <alignment horizontal="right" vertical="top"/>
    </xf>
    <xf numFmtId="14" fontId="62" fillId="0" borderId="0" xfId="0" applyNumberFormat="1" applyFont="1" applyAlignment="1">
      <alignment horizontal="right" vertical="top"/>
    </xf>
    <xf numFmtId="14" fontId="62" fillId="0" borderId="0" xfId="0" applyNumberFormat="1" applyFont="1" applyAlignment="1">
      <alignment vertical="top"/>
    </xf>
    <xf numFmtId="3" fontId="62" fillId="0" borderId="0" xfId="0" applyNumberFormat="1" applyFont="1" applyAlignment="1">
      <alignment vertical="top"/>
    </xf>
    <xf numFmtId="3" fontId="60" fillId="0" borderId="0" xfId="0" applyNumberFormat="1" applyFont="1" applyAlignment="1">
      <alignment vertical="top"/>
    </xf>
    <xf numFmtId="0" fontId="64" fillId="0" borderId="0" xfId="0" applyFont="1"/>
    <xf numFmtId="0" fontId="63" fillId="0" borderId="0" xfId="0" applyFont="1"/>
    <xf numFmtId="0" fontId="64" fillId="0" borderId="0" xfId="0" applyFont="1" applyAlignment="1">
      <alignment wrapText="1"/>
    </xf>
    <xf numFmtId="0" fontId="63" fillId="0" borderId="0" xfId="0" applyFont="1" applyAlignment="1">
      <alignment wrapText="1"/>
    </xf>
    <xf numFmtId="4" fontId="63" fillId="0" borderId="0" xfId="0" applyNumberFormat="1" applyFont="1"/>
    <xf numFmtId="0" fontId="63" fillId="18" borderId="0" xfId="0" applyFont="1" applyFill="1" applyAlignment="1">
      <alignment wrapText="1"/>
    </xf>
    <xf numFmtId="0" fontId="63" fillId="18" borderId="0" xfId="0" applyFont="1" applyFill="1"/>
    <xf numFmtId="0" fontId="64" fillId="18" borderId="0" xfId="0" applyFont="1" applyFill="1"/>
    <xf numFmtId="4" fontId="63" fillId="18" borderId="0" xfId="0" applyNumberFormat="1" applyFont="1" applyFill="1"/>
    <xf numFmtId="0" fontId="5" fillId="27" borderId="1" xfId="0" applyFont="1" applyFill="1" applyBorder="1" applyAlignment="1">
      <alignment horizontal="left" vertical="center"/>
    </xf>
    <xf numFmtId="0" fontId="5" fillId="27" borderId="1" xfId="0" applyFont="1" applyFill="1" applyBorder="1" applyAlignment="1">
      <alignment horizontal="center" vertical="center"/>
    </xf>
    <xf numFmtId="0" fontId="5" fillId="27" borderId="1" xfId="0" applyFont="1" applyFill="1" applyBorder="1" applyAlignment="1">
      <alignment horizontal="right" vertical="center"/>
    </xf>
    <xf numFmtId="9" fontId="5" fillId="27" borderId="1" xfId="28" applyFont="1" applyFill="1" applyBorder="1" applyAlignment="1">
      <alignment horizontal="left" vertical="center"/>
    </xf>
    <xf numFmtId="9" fontId="5" fillId="27" borderId="1" xfId="28" applyFont="1" applyFill="1" applyBorder="1" applyAlignment="1">
      <alignment horizontal="center" vertical="center"/>
    </xf>
    <xf numFmtId="0" fontId="5" fillId="27" borderId="1" xfId="10" applyNumberFormat="1" applyFont="1" applyFill="1" applyBorder="1" applyAlignment="1">
      <alignment horizontal="center" vertical="center"/>
    </xf>
    <xf numFmtId="169" fontId="5" fillId="27" borderId="1" xfId="16" applyFont="1" applyFill="1" applyBorder="1" applyAlignment="1">
      <alignment horizontal="left" vertical="center"/>
    </xf>
    <xf numFmtId="0" fontId="5" fillId="27" borderId="1" xfId="0" applyFont="1" applyFill="1" applyBorder="1" applyAlignment="1">
      <alignment vertical="center"/>
    </xf>
    <xf numFmtId="4" fontId="5" fillId="27" borderId="1" xfId="0" applyNumberFormat="1" applyFont="1" applyFill="1" applyBorder="1" applyAlignment="1">
      <alignment horizontal="right" vertical="center"/>
    </xf>
    <xf numFmtId="0" fontId="5" fillId="27" borderId="0" xfId="0" applyFont="1" applyFill="1"/>
    <xf numFmtId="15" fontId="55" fillId="27" borderId="0" xfId="0" applyNumberFormat="1" applyFont="1" applyFill="1" applyAlignment="1">
      <alignment horizontal="center" vertical="center" wrapText="1"/>
    </xf>
    <xf numFmtId="0" fontId="56" fillId="27" borderId="0" xfId="0" applyFont="1" applyFill="1"/>
    <xf numFmtId="0" fontId="63" fillId="27" borderId="0" xfId="0" applyFont="1" applyFill="1"/>
    <xf numFmtId="0" fontId="64" fillId="27" borderId="0" xfId="0" applyFont="1" applyFill="1"/>
    <xf numFmtId="4" fontId="63" fillId="27" borderId="0" xfId="0" applyNumberFormat="1" applyFont="1" applyFill="1"/>
    <xf numFmtId="0" fontId="0" fillId="27" borderId="0" xfId="0" applyFill="1"/>
    <xf numFmtId="4" fontId="56" fillId="27" borderId="0" xfId="0" applyNumberFormat="1" applyFont="1" applyFill="1" applyAlignment="1">
      <alignment wrapText="1"/>
    </xf>
    <xf numFmtId="172" fontId="63" fillId="0" borderId="0" xfId="0" applyNumberFormat="1" applyFont="1"/>
    <xf numFmtId="184" fontId="64" fillId="0" borderId="0" xfId="0" applyNumberFormat="1" applyFont="1"/>
    <xf numFmtId="184" fontId="64" fillId="18" borderId="0" xfId="0" applyNumberFormat="1" applyFont="1" applyFill="1"/>
    <xf numFmtId="184" fontId="64" fillId="27" borderId="0" xfId="0" applyNumberFormat="1" applyFont="1" applyFill="1"/>
    <xf numFmtId="184" fontId="63" fillId="0" borderId="0" xfId="0" applyNumberFormat="1" applyFont="1"/>
    <xf numFmtId="172" fontId="66" fillId="0" borderId="0" xfId="0" applyNumberFormat="1" applyFont="1"/>
    <xf numFmtId="0" fontId="64" fillId="0" borderId="0" xfId="0" applyFont="1" applyAlignment="1">
      <alignment vertical="center" wrapText="1"/>
    </xf>
    <xf numFmtId="184" fontId="64" fillId="38" borderId="0" xfId="0" applyNumberFormat="1" applyFont="1" applyFill="1"/>
    <xf numFmtId="4" fontId="5" fillId="38" borderId="1" xfId="0" applyNumberFormat="1" applyFont="1" applyFill="1" applyBorder="1" applyAlignment="1">
      <alignment horizontal="right" vertical="center"/>
    </xf>
    <xf numFmtId="0" fontId="67" fillId="18" borderId="1" xfId="0" applyFont="1" applyFill="1" applyBorder="1" applyAlignment="1">
      <alignment horizontal="left" vertical="center"/>
    </xf>
    <xf numFmtId="0" fontId="67" fillId="18" borderId="1" xfId="0" applyFont="1" applyFill="1" applyBorder="1" applyAlignment="1">
      <alignment horizontal="center" vertical="center"/>
    </xf>
    <xf numFmtId="0" fontId="67" fillId="18" borderId="1" xfId="0" applyFont="1" applyFill="1" applyBorder="1" applyAlignment="1">
      <alignment horizontal="right" vertical="center"/>
    </xf>
    <xf numFmtId="9" fontId="67" fillId="18" borderId="1" xfId="28" applyFont="1" applyFill="1" applyBorder="1" applyAlignment="1">
      <alignment horizontal="center" vertical="center"/>
    </xf>
    <xf numFmtId="0" fontId="67" fillId="18" borderId="1" xfId="0" applyFont="1" applyFill="1" applyBorder="1" applyAlignment="1">
      <alignment vertical="center"/>
    </xf>
    <xf numFmtId="4" fontId="67" fillId="18" borderId="1" xfId="0" applyNumberFormat="1" applyFont="1" applyFill="1" applyBorder="1" applyAlignment="1">
      <alignment horizontal="right" vertical="center"/>
    </xf>
    <xf numFmtId="0" fontId="67" fillId="18" borderId="0" xfId="0" applyFont="1" applyFill="1"/>
    <xf numFmtId="15" fontId="68" fillId="18" borderId="0" xfId="0" applyNumberFormat="1" applyFont="1" applyFill="1" applyAlignment="1">
      <alignment horizontal="center" vertical="center" wrapText="1"/>
    </xf>
    <xf numFmtId="0" fontId="67" fillId="18" borderId="0" xfId="0" applyFont="1" applyFill="1" applyAlignment="1">
      <alignment wrapText="1"/>
    </xf>
    <xf numFmtId="0" fontId="66" fillId="18" borderId="0" xfId="0" applyFont="1" applyFill="1" applyAlignment="1">
      <alignment wrapText="1"/>
    </xf>
    <xf numFmtId="184" fontId="69" fillId="18" borderId="0" xfId="0" applyNumberFormat="1" applyFont="1" applyFill="1"/>
    <xf numFmtId="4" fontId="66" fillId="18" borderId="0" xfId="0" applyNumberFormat="1" applyFont="1" applyFill="1"/>
    <xf numFmtId="0" fontId="66" fillId="18" borderId="0" xfId="0" applyFont="1" applyFill="1"/>
    <xf numFmtId="0" fontId="69" fillId="18" borderId="0" xfId="0" applyFont="1" applyFill="1"/>
    <xf numFmtId="0" fontId="41" fillId="18" borderId="0" xfId="0" applyFont="1" applyFill="1"/>
    <xf numFmtId="9" fontId="67" fillId="18" borderId="1" xfId="28" applyFont="1" applyFill="1" applyBorder="1" applyAlignment="1">
      <alignment horizontal="left" vertical="center"/>
    </xf>
    <xf numFmtId="0" fontId="67" fillId="18" borderId="5" xfId="0" applyFont="1" applyFill="1" applyBorder="1" applyAlignment="1">
      <alignment vertical="center"/>
    </xf>
    <xf numFmtId="0" fontId="67" fillId="18" borderId="1" xfId="10" applyNumberFormat="1" applyFont="1" applyFill="1" applyBorder="1" applyAlignment="1">
      <alignment horizontal="center" vertical="center"/>
    </xf>
    <xf numFmtId="0" fontId="67" fillId="18" borderId="4" xfId="0" applyFont="1" applyFill="1" applyBorder="1" applyAlignment="1">
      <alignment vertical="center"/>
    </xf>
    <xf numFmtId="9" fontId="0" fillId="0" borderId="0" xfId="0" applyNumberFormat="1"/>
    <xf numFmtId="0" fontId="31" fillId="39" borderId="0" xfId="0" applyFont="1" applyFill="1"/>
    <xf numFmtId="173" fontId="0" fillId="39" borderId="0" xfId="10" applyNumberFormat="1" applyFont="1" applyFill="1"/>
    <xf numFmtId="0" fontId="5" fillId="35" borderId="0" xfId="0" applyFont="1" applyFill="1" applyAlignment="1">
      <alignment horizontal="left" vertical="center"/>
    </xf>
    <xf numFmtId="184" fontId="63" fillId="0" borderId="0" xfId="0" applyNumberFormat="1" applyFont="1" applyAlignment="1">
      <alignment wrapText="1"/>
    </xf>
    <xf numFmtId="184" fontId="63" fillId="18" borderId="0" xfId="0" applyNumberFormat="1" applyFont="1" applyFill="1" applyAlignment="1">
      <alignment wrapText="1"/>
    </xf>
    <xf numFmtId="184" fontId="63" fillId="18" borderId="0" xfId="0" applyNumberFormat="1" applyFont="1" applyFill="1"/>
    <xf numFmtId="184" fontId="66" fillId="18" borderId="0" xfId="0" applyNumberFormat="1" applyFont="1" applyFill="1" applyAlignment="1">
      <alignment wrapText="1"/>
    </xf>
    <xf numFmtId="184" fontId="66" fillId="18" borderId="0" xfId="0" applyNumberFormat="1" applyFont="1" applyFill="1"/>
    <xf numFmtId="184" fontId="63" fillId="27" borderId="0" xfId="0" applyNumberFormat="1" applyFont="1" applyFill="1" applyAlignment="1">
      <alignment wrapText="1"/>
    </xf>
    <xf numFmtId="184" fontId="63" fillId="27" borderId="0" xfId="0" applyNumberFormat="1" applyFont="1" applyFill="1"/>
    <xf numFmtId="184" fontId="65" fillId="27" borderId="0" xfId="0" applyNumberFormat="1" applyFont="1" applyFill="1" applyAlignment="1">
      <alignment horizontal="right" vertical="center"/>
    </xf>
    <xf numFmtId="184" fontId="63" fillId="35" borderId="0" xfId="0" applyNumberFormat="1" applyFont="1" applyFill="1" applyAlignment="1">
      <alignment wrapText="1"/>
    </xf>
    <xf numFmtId="184" fontId="63" fillId="0" borderId="0" xfId="0" applyNumberFormat="1" applyFont="1" applyAlignment="1">
      <alignment vertical="center" wrapText="1"/>
    </xf>
    <xf numFmtId="184" fontId="70" fillId="27" borderId="0" xfId="0" applyNumberFormat="1" applyFont="1" applyFill="1" applyAlignment="1">
      <alignment horizontal="right" vertical="center"/>
    </xf>
    <xf numFmtId="4" fontId="0" fillId="0" borderId="0" xfId="0" applyNumberFormat="1"/>
    <xf numFmtId="184" fontId="64" fillId="38" borderId="0" xfId="0" applyNumberFormat="1" applyFont="1" applyFill="1" applyAlignment="1">
      <alignment horizontal="center" vertical="center"/>
    </xf>
    <xf numFmtId="0" fontId="64" fillId="38" borderId="0" xfId="0" applyFont="1" applyFill="1" applyAlignment="1">
      <alignment horizontal="center" vertical="center" wrapText="1"/>
    </xf>
    <xf numFmtId="180" fontId="47" fillId="38" borderId="0" xfId="0" applyNumberFormat="1" applyFont="1" applyFill="1" applyAlignment="1">
      <alignment horizontal="center" vertical="center"/>
    </xf>
    <xf numFmtId="9" fontId="12" fillId="0" borderId="48" xfId="22" applyNumberFormat="1" applyFont="1" applyBorder="1" applyAlignment="1">
      <alignment horizontal="center" vertical="center" wrapText="1"/>
    </xf>
    <xf numFmtId="9" fontId="12" fillId="0" borderId="9" xfId="22" applyNumberFormat="1" applyFont="1" applyBorder="1" applyAlignment="1">
      <alignment horizontal="center" vertical="center" wrapText="1"/>
    </xf>
    <xf numFmtId="9" fontId="12" fillId="0" borderId="33" xfId="22" applyNumberFormat="1" applyFont="1" applyBorder="1" applyAlignment="1">
      <alignment horizontal="center" vertical="center" wrapText="1"/>
    </xf>
    <xf numFmtId="9" fontId="46" fillId="0" borderId="0" xfId="0" applyNumberFormat="1" applyFont="1" applyAlignment="1">
      <alignment horizontal="center" vertical="center"/>
    </xf>
    <xf numFmtId="9" fontId="46" fillId="29" borderId="0" xfId="0" applyNumberFormat="1" applyFont="1" applyFill="1" applyAlignment="1">
      <alignment horizontal="center" vertical="center"/>
    </xf>
    <xf numFmtId="3" fontId="32" fillId="0" borderId="1" xfId="28" applyNumberFormat="1" applyFont="1" applyFill="1" applyBorder="1" applyAlignment="1">
      <alignment horizontal="center" vertical="center" wrapText="1"/>
    </xf>
    <xf numFmtId="0" fontId="12" fillId="9" borderId="23" xfId="0" applyFont="1" applyFill="1" applyBorder="1" applyAlignment="1">
      <alignment horizontal="center" vertical="center" wrapText="1"/>
    </xf>
    <xf numFmtId="172" fontId="20" fillId="0" borderId="32" xfId="10" applyNumberFormat="1" applyFont="1" applyBorder="1" applyAlignment="1">
      <alignment vertical="center"/>
    </xf>
    <xf numFmtId="172" fontId="20" fillId="0" borderId="4" xfId="10" applyNumberFormat="1" applyFont="1" applyBorder="1" applyAlignment="1">
      <alignment vertical="center"/>
    </xf>
    <xf numFmtId="172" fontId="20" fillId="0" borderId="1" xfId="10" applyNumberFormat="1" applyFont="1" applyBorder="1" applyAlignment="1">
      <alignment vertical="center"/>
    </xf>
    <xf numFmtId="172" fontId="20" fillId="0" borderId="19" xfId="10" applyNumberFormat="1" applyFont="1" applyBorder="1" applyAlignment="1">
      <alignment vertical="center"/>
    </xf>
    <xf numFmtId="4" fontId="68" fillId="18" borderId="1" xfId="0" applyNumberFormat="1" applyFont="1" applyFill="1" applyBorder="1" applyAlignment="1">
      <alignment horizontal="right" vertical="center"/>
    </xf>
    <xf numFmtId="4" fontId="5" fillId="24" borderId="1" xfId="0" applyNumberFormat="1" applyFont="1" applyFill="1" applyBorder="1" applyAlignment="1">
      <alignment horizontal="right" vertical="center"/>
    </xf>
    <xf numFmtId="4" fontId="54" fillId="24" borderId="1" xfId="0" applyNumberFormat="1" applyFont="1" applyFill="1" applyBorder="1" applyAlignment="1">
      <alignment horizontal="right" vertical="center"/>
    </xf>
    <xf numFmtId="4" fontId="67" fillId="24" borderId="1" xfId="0" applyNumberFormat="1" applyFont="1" applyFill="1" applyBorder="1" applyAlignment="1">
      <alignment horizontal="right" vertical="center"/>
    </xf>
    <xf numFmtId="168" fontId="58" fillId="24" borderId="4" xfId="0" applyNumberFormat="1" applyFont="1" applyFill="1" applyBorder="1" applyAlignment="1">
      <alignment horizontal="right" vertical="center" wrapText="1"/>
    </xf>
    <xf numFmtId="173" fontId="0" fillId="24" borderId="0" xfId="10" applyNumberFormat="1" applyFont="1" applyFill="1"/>
    <xf numFmtId="172" fontId="0" fillId="0" borderId="0" xfId="0" applyNumberFormat="1" applyAlignment="1">
      <alignment vertical="center"/>
    </xf>
    <xf numFmtId="173" fontId="20" fillId="0" borderId="57" xfId="10" applyNumberFormat="1" applyFont="1" applyBorder="1" applyAlignment="1">
      <alignment vertical="center"/>
    </xf>
    <xf numFmtId="173" fontId="20" fillId="0" borderId="58" xfId="10" applyNumberFormat="1" applyFont="1" applyBorder="1" applyAlignment="1">
      <alignment vertical="center"/>
    </xf>
    <xf numFmtId="0" fontId="12" fillId="19" borderId="42" xfId="22" applyFont="1" applyFill="1" applyBorder="1" applyAlignment="1">
      <alignment vertical="center" wrapText="1"/>
    </xf>
    <xf numFmtId="173" fontId="20" fillId="0" borderId="34" xfId="10" applyNumberFormat="1" applyFont="1" applyBorder="1" applyAlignment="1">
      <alignment vertical="center"/>
    </xf>
    <xf numFmtId="173" fontId="20" fillId="0" borderId="9" xfId="10" applyNumberFormat="1" applyFont="1" applyBorder="1" applyAlignment="1">
      <alignment vertical="center"/>
    </xf>
    <xf numFmtId="0" fontId="72" fillId="7" borderId="22" xfId="9" applyFont="1" applyBorder="1" applyProtection="1">
      <alignment horizontal="center" vertical="center"/>
    </xf>
    <xf numFmtId="0" fontId="72" fillId="7" borderId="0" xfId="9" applyFont="1" applyProtection="1">
      <alignment horizontal="center" vertical="center"/>
    </xf>
    <xf numFmtId="0" fontId="73" fillId="0" borderId="0" xfId="0" applyFont="1"/>
    <xf numFmtId="49" fontId="74" fillId="15" borderId="0" xfId="2" applyFont="1" applyFill="1" applyProtection="1">
      <alignment horizontal="left" vertical="center"/>
      <protection locked="0"/>
    </xf>
    <xf numFmtId="185" fontId="73" fillId="15" borderId="0" xfId="35" applyFont="1" applyFill="1" applyProtection="1">
      <protection locked="0"/>
    </xf>
    <xf numFmtId="9" fontId="0" fillId="0" borderId="0" xfId="28" applyFont="1" applyAlignment="1">
      <alignment vertical="center"/>
    </xf>
    <xf numFmtId="177" fontId="13" fillId="24" borderId="1" xfId="15" applyNumberFormat="1" applyFont="1" applyFill="1" applyBorder="1" applyAlignment="1">
      <alignment horizontal="center" vertical="center"/>
    </xf>
    <xf numFmtId="178" fontId="13" fillId="24" borderId="1" xfId="15" applyNumberFormat="1" applyFont="1" applyFill="1" applyBorder="1" applyAlignment="1">
      <alignment horizontal="center" vertical="center"/>
    </xf>
    <xf numFmtId="0" fontId="12" fillId="24" borderId="10" xfId="0" applyFont="1" applyFill="1" applyBorder="1" applyAlignment="1">
      <alignment horizontal="center" vertical="center" wrapText="1"/>
    </xf>
    <xf numFmtId="3" fontId="0" fillId="0" borderId="0" xfId="0" applyNumberFormat="1"/>
    <xf numFmtId="3" fontId="31" fillId="0" borderId="0" xfId="0" applyNumberFormat="1" applyFont="1"/>
    <xf numFmtId="3" fontId="62" fillId="24" borderId="0" xfId="0" applyNumberFormat="1" applyFont="1" applyFill="1" applyAlignment="1">
      <alignment vertical="top"/>
    </xf>
    <xf numFmtId="168" fontId="0" fillId="0" borderId="0" xfId="10" applyFont="1"/>
    <xf numFmtId="7" fontId="0" fillId="0" borderId="0" xfId="0" applyNumberFormat="1"/>
    <xf numFmtId="4" fontId="12" fillId="9" borderId="19" xfId="28" applyNumberFormat="1" applyFont="1" applyFill="1" applyBorder="1" applyAlignment="1" applyProtection="1">
      <alignment horizontal="center" vertical="center" wrapText="1"/>
    </xf>
    <xf numFmtId="4" fontId="12" fillId="9" borderId="19" xfId="22" applyNumberFormat="1" applyFont="1" applyFill="1" applyBorder="1" applyAlignment="1">
      <alignment horizontal="center" vertical="center" wrapText="1"/>
    </xf>
    <xf numFmtId="4" fontId="11" fillId="9" borderId="19" xfId="30" applyNumberFormat="1" applyFont="1" applyFill="1" applyBorder="1" applyAlignment="1" applyProtection="1">
      <alignment horizontal="center" vertical="center" wrapText="1"/>
    </xf>
    <xf numFmtId="187" fontId="13" fillId="22" borderId="1" xfId="14" applyNumberFormat="1" applyFont="1" applyFill="1" applyBorder="1" applyAlignment="1">
      <alignment horizontal="center" vertical="center"/>
    </xf>
    <xf numFmtId="0" fontId="32" fillId="0" borderId="1" xfId="0" applyFont="1" applyBorder="1" applyAlignment="1">
      <alignment horizontal="justify" vertical="center"/>
    </xf>
    <xf numFmtId="166" fontId="32" fillId="0" borderId="1" xfId="11" applyFont="1" applyFill="1" applyBorder="1" applyAlignment="1">
      <alignment horizontal="center" vertical="center" wrapText="1"/>
    </xf>
    <xf numFmtId="0" fontId="32" fillId="0" borderId="5" xfId="0" applyFont="1" applyBorder="1" applyAlignment="1">
      <alignment vertical="center"/>
    </xf>
    <xf numFmtId="9" fontId="32" fillId="0" borderId="1" xfId="28" applyFont="1" applyFill="1" applyBorder="1" applyAlignment="1">
      <alignment horizontal="center" vertical="center"/>
    </xf>
    <xf numFmtId="0" fontId="32" fillId="0" borderId="1" xfId="28" applyNumberFormat="1" applyFont="1" applyFill="1" applyBorder="1" applyAlignment="1">
      <alignment vertical="center"/>
    </xf>
    <xf numFmtId="0" fontId="32" fillId="0" borderId="1" xfId="0" applyFont="1" applyBorder="1" applyAlignment="1">
      <alignment horizontal="justify" vertical="center" wrapText="1"/>
    </xf>
    <xf numFmtId="0" fontId="32" fillId="0" borderId="5" xfId="0" applyFont="1" applyBorder="1" applyAlignment="1">
      <alignment horizontal="justify" vertical="center"/>
    </xf>
    <xf numFmtId="186" fontId="32" fillId="0" borderId="1" xfId="28" applyNumberFormat="1" applyFont="1" applyFill="1" applyBorder="1" applyAlignment="1">
      <alignment horizontal="center" vertical="center" wrapText="1"/>
    </xf>
    <xf numFmtId="9" fontId="32" fillId="0" borderId="1" xfId="28" applyFont="1" applyFill="1" applyBorder="1" applyAlignment="1">
      <alignment horizontal="center" vertical="center" wrapText="1"/>
    </xf>
    <xf numFmtId="0" fontId="12" fillId="9" borderId="1" xfId="0" applyFont="1" applyFill="1" applyBorder="1" applyAlignment="1">
      <alignment horizontal="center" vertical="center" wrapText="1"/>
    </xf>
    <xf numFmtId="6" fontId="32" fillId="0" borderId="0" xfId="0" applyNumberFormat="1" applyFont="1" applyAlignment="1">
      <alignment vertical="center"/>
    </xf>
    <xf numFmtId="172" fontId="17" fillId="0" borderId="1" xfId="0" applyNumberFormat="1" applyFont="1" applyBorder="1" applyAlignment="1">
      <alignment horizontal="center" vertical="center"/>
    </xf>
    <xf numFmtId="172" fontId="17" fillId="0" borderId="1" xfId="0" applyNumberFormat="1" applyFont="1" applyBorder="1" applyAlignment="1">
      <alignment vertical="center"/>
    </xf>
    <xf numFmtId="172" fontId="13" fillId="22" borderId="1" xfId="0" applyNumberFormat="1" applyFont="1" applyFill="1" applyBorder="1" applyAlignment="1">
      <alignment horizontal="center" vertical="center"/>
    </xf>
    <xf numFmtId="0" fontId="32" fillId="0" borderId="5" xfId="0" applyFont="1" applyBorder="1" applyAlignment="1">
      <alignment horizontal="justify" vertical="center" wrapText="1"/>
    </xf>
    <xf numFmtId="0" fontId="32" fillId="0" borderId="2" xfId="0" applyFont="1" applyBorder="1" applyAlignment="1">
      <alignment horizontal="justify" vertical="center" wrapText="1"/>
    </xf>
    <xf numFmtId="0" fontId="11" fillId="0" borderId="10" xfId="0" applyFont="1" applyBorder="1" applyAlignment="1">
      <alignment horizontal="justify" vertical="center" wrapText="1"/>
    </xf>
    <xf numFmtId="0" fontId="11" fillId="0" borderId="4" xfId="0" applyFont="1" applyBorder="1" applyAlignment="1">
      <alignment horizontal="center" vertical="center" wrapText="1"/>
    </xf>
    <xf numFmtId="0" fontId="11" fillId="0" borderId="23" xfId="0" applyFont="1" applyBorder="1" applyAlignment="1">
      <alignment horizontal="center" vertical="center" wrapText="1"/>
    </xf>
    <xf numFmtId="166" fontId="32" fillId="0" borderId="2" xfId="11" applyFont="1" applyFill="1" applyBorder="1" applyAlignment="1">
      <alignment horizontal="justify" vertical="center" wrapText="1"/>
    </xf>
    <xf numFmtId="49" fontId="32" fillId="0" borderId="2" xfId="11" applyNumberFormat="1" applyFont="1" applyFill="1" applyBorder="1" applyAlignment="1">
      <alignment horizontal="justify" vertical="center" wrapText="1"/>
    </xf>
    <xf numFmtId="182" fontId="11" fillId="0" borderId="1" xfId="22" applyNumberFormat="1" applyFont="1" applyBorder="1" applyAlignment="1">
      <alignment horizontal="center" vertical="center" wrapText="1"/>
    </xf>
    <xf numFmtId="0" fontId="43" fillId="31" borderId="0" xfId="0" applyFont="1" applyFill="1" applyAlignment="1">
      <alignment vertical="center"/>
    </xf>
    <xf numFmtId="182" fontId="45" fillId="31" borderId="0" xfId="0" applyNumberFormat="1" applyFont="1" applyFill="1" applyAlignment="1">
      <alignment horizontal="center" vertical="center"/>
    </xf>
    <xf numFmtId="180" fontId="45" fillId="31" borderId="0" xfId="0" applyNumberFormat="1" applyFont="1" applyFill="1" applyAlignment="1">
      <alignment horizontal="center" vertical="center"/>
    </xf>
    <xf numFmtId="0" fontId="11" fillId="0" borderId="0" xfId="0" applyFont="1" applyAlignment="1">
      <alignment vertical="center"/>
    </xf>
    <xf numFmtId="181" fontId="43" fillId="30" borderId="0" xfId="0" applyNumberFormat="1" applyFont="1" applyFill="1" applyAlignment="1">
      <alignment horizontal="center" vertical="center"/>
    </xf>
    <xf numFmtId="0" fontId="11" fillId="0" borderId="18" xfId="22" applyFont="1" applyBorder="1" applyAlignment="1">
      <alignment horizontal="center" vertical="center" wrapText="1"/>
    </xf>
    <xf numFmtId="0" fontId="11" fillId="0" borderId="18" xfId="22" applyFont="1" applyBorder="1" applyAlignment="1">
      <alignment horizontal="justify"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0" fontId="34" fillId="9" borderId="22"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24" xfId="0" applyFont="1" applyFill="1" applyBorder="1" applyAlignment="1">
      <alignment horizontal="center" vertical="center"/>
    </xf>
    <xf numFmtId="0" fontId="34" fillId="9" borderId="3" xfId="0" applyFont="1" applyFill="1" applyBorder="1" applyAlignment="1">
      <alignment horizontal="center" vertical="center"/>
    </xf>
    <xf numFmtId="0" fontId="34" fillId="9" borderId="25" xfId="0" applyFont="1" applyFill="1" applyBorder="1" applyAlignment="1">
      <alignment horizontal="center" vertical="center"/>
    </xf>
    <xf numFmtId="0" fontId="34" fillId="9" borderId="0" xfId="0" applyFont="1" applyFill="1" applyAlignment="1">
      <alignment horizontal="center" vertical="center"/>
    </xf>
    <xf numFmtId="0" fontId="34" fillId="9" borderId="8" xfId="0" applyFont="1" applyFill="1" applyBorder="1" applyAlignment="1">
      <alignment horizontal="center" vertical="center" wrapText="1"/>
    </xf>
    <xf numFmtId="0" fontId="32" fillId="0" borderId="8" xfId="0" applyFont="1" applyBorder="1" applyAlignment="1">
      <alignment horizontal="center" vertical="center"/>
    </xf>
    <xf numFmtId="0" fontId="33" fillId="0" borderId="9" xfId="0" applyFont="1" applyBorder="1" applyAlignment="1">
      <alignment vertical="center" wrapText="1"/>
    </xf>
    <xf numFmtId="0" fontId="12" fillId="0" borderId="0" xfId="22" applyFont="1" applyAlignment="1">
      <alignment vertical="center" wrapText="1"/>
    </xf>
    <xf numFmtId="0" fontId="37" fillId="0" borderId="0" xfId="0" applyFont="1" applyAlignment="1">
      <alignment horizontal="center" vertical="center"/>
    </xf>
    <xf numFmtId="0" fontId="14" fillId="0" borderId="0" xfId="22" applyFont="1" applyAlignment="1">
      <alignment vertical="center" wrapText="1"/>
    </xf>
    <xf numFmtId="0" fontId="11" fillId="0" borderId="0" xfId="22" applyFont="1" applyAlignment="1">
      <alignment vertical="center" wrapText="1"/>
    </xf>
    <xf numFmtId="9" fontId="12" fillId="0" borderId="19" xfId="22" applyNumberFormat="1" applyFont="1" applyBorder="1" applyAlignment="1">
      <alignment horizontal="center" vertical="center" wrapText="1"/>
    </xf>
    <xf numFmtId="0" fontId="32" fillId="0" borderId="1" xfId="28" applyNumberFormat="1" applyFont="1" applyFill="1" applyBorder="1" applyAlignment="1">
      <alignment horizontal="left" vertical="top" wrapText="1"/>
    </xf>
    <xf numFmtId="1" fontId="32" fillId="9" borderId="19" xfId="30" applyNumberFormat="1" applyFont="1" applyFill="1" applyBorder="1" applyAlignment="1" applyProtection="1">
      <alignment horizontal="center" vertical="center" wrapText="1"/>
    </xf>
    <xf numFmtId="1" fontId="34" fillId="9" borderId="19" xfId="28" applyNumberFormat="1" applyFont="1" applyFill="1" applyBorder="1" applyAlignment="1" applyProtection="1">
      <alignment horizontal="center" vertical="center" wrapText="1"/>
    </xf>
    <xf numFmtId="4" fontId="32" fillId="9" borderId="19" xfId="30" applyNumberFormat="1" applyFont="1" applyFill="1" applyBorder="1" applyAlignment="1" applyProtection="1">
      <alignment horizontal="center" vertical="center" wrapText="1"/>
    </xf>
    <xf numFmtId="4" fontId="34" fillId="9" borderId="19" xfId="28" applyNumberFormat="1" applyFont="1" applyFill="1" applyBorder="1" applyAlignment="1" applyProtection="1">
      <alignment horizontal="center" vertical="center" wrapText="1"/>
    </xf>
    <xf numFmtId="7" fontId="20" fillId="0" borderId="31" xfId="10" applyNumberFormat="1" applyFont="1" applyFill="1" applyBorder="1" applyAlignment="1">
      <alignment vertical="center"/>
    </xf>
    <xf numFmtId="9" fontId="20" fillId="0" borderId="9" xfId="28" applyFont="1" applyBorder="1" applyAlignment="1">
      <alignment horizontal="center" vertical="center"/>
    </xf>
    <xf numFmtId="10" fontId="20" fillId="0" borderId="9" xfId="28" applyNumberFormat="1" applyFont="1" applyBorder="1" applyAlignment="1">
      <alignment horizontal="center" vertical="center"/>
    </xf>
    <xf numFmtId="172" fontId="20" fillId="0" borderId="57" xfId="10" applyNumberFormat="1" applyFont="1" applyBorder="1" applyAlignment="1">
      <alignment vertical="center"/>
    </xf>
    <xf numFmtId="184" fontId="20" fillId="0" borderId="4" xfId="10" applyNumberFormat="1" applyFont="1" applyBorder="1" applyAlignment="1">
      <alignment vertical="center"/>
    </xf>
    <xf numFmtId="184" fontId="20" fillId="0" borderId="58" xfId="10" applyNumberFormat="1" applyFont="1" applyBorder="1" applyAlignment="1">
      <alignment vertical="center"/>
    </xf>
    <xf numFmtId="184" fontId="20" fillId="0" borderId="31" xfId="10" applyNumberFormat="1" applyFont="1" applyBorder="1" applyAlignment="1">
      <alignment vertical="center"/>
    </xf>
    <xf numFmtId="0" fontId="77" fillId="27" borderId="47" xfId="0" applyFont="1" applyFill="1" applyBorder="1" applyAlignment="1">
      <alignment horizontal="center" vertical="center" wrapText="1"/>
    </xf>
    <xf numFmtId="0" fontId="78" fillId="0" borderId="8" xfId="0" applyFont="1" applyBorder="1" applyAlignment="1">
      <alignment horizontal="center" vertical="center"/>
    </xf>
    <xf numFmtId="0" fontId="78" fillId="0" borderId="1" xfId="0" applyFont="1" applyBorder="1" applyAlignment="1">
      <alignment horizontal="center" vertical="center"/>
    </xf>
    <xf numFmtId="0" fontId="78" fillId="0" borderId="1" xfId="0" applyFont="1" applyBorder="1" applyAlignment="1">
      <alignment vertical="center" wrapText="1"/>
    </xf>
    <xf numFmtId="4" fontId="78" fillId="0" borderId="1" xfId="0" applyNumberFormat="1" applyFont="1" applyBorder="1" applyAlignment="1">
      <alignment horizontal="right" vertical="center"/>
    </xf>
    <xf numFmtId="4" fontId="79" fillId="26" borderId="1" xfId="0" applyNumberFormat="1" applyFont="1" applyFill="1" applyBorder="1" applyAlignment="1">
      <alignment horizontal="right" vertical="center"/>
    </xf>
    <xf numFmtId="172" fontId="78" fillId="0" borderId="1" xfId="0" applyNumberFormat="1" applyFont="1" applyBorder="1" applyAlignment="1">
      <alignment horizontal="right" vertical="center"/>
    </xf>
    <xf numFmtId="172" fontId="79" fillId="26" borderId="1" xfId="0" applyNumberFormat="1" applyFont="1" applyFill="1" applyBorder="1" applyAlignment="1">
      <alignment horizontal="right" vertical="center"/>
    </xf>
    <xf numFmtId="172" fontId="31" fillId="26" borderId="1" xfId="0" applyNumberFormat="1" applyFont="1" applyFill="1" applyBorder="1" applyAlignment="1">
      <alignment horizontal="right" vertical="center"/>
    </xf>
    <xf numFmtId="172" fontId="31" fillId="26" borderId="19" xfId="0" applyNumberFormat="1" applyFont="1" applyFill="1" applyBorder="1" applyAlignment="1">
      <alignment horizontal="right" vertical="center"/>
    </xf>
    <xf numFmtId="0" fontId="16" fillId="2" borderId="0" xfId="22" applyFont="1" applyFill="1" applyAlignment="1">
      <alignment horizontal="center" vertical="center" wrapText="1"/>
    </xf>
    <xf numFmtId="176" fontId="0" fillId="0" borderId="0" xfId="0" applyNumberFormat="1" applyAlignment="1">
      <alignment horizontal="center" vertical="center"/>
    </xf>
    <xf numFmtId="176" fontId="20" fillId="0" borderId="0" xfId="14" applyNumberFormat="1" applyFont="1" applyBorder="1" applyAlignment="1">
      <alignment horizontal="center" vertical="center"/>
    </xf>
    <xf numFmtId="165" fontId="20" fillId="0" borderId="0" xfId="15" applyFont="1" applyAlignment="1">
      <alignment horizontal="center" vertical="center"/>
    </xf>
    <xf numFmtId="178" fontId="0" fillId="0" borderId="85" xfId="14" applyNumberFormat="1" applyFont="1" applyBorder="1" applyAlignment="1">
      <alignment vertical="center"/>
    </xf>
    <xf numFmtId="178" fontId="0" fillId="0" borderId="86" xfId="14" applyNumberFormat="1" applyFont="1" applyBorder="1" applyAlignment="1">
      <alignment vertical="center"/>
    </xf>
    <xf numFmtId="178" fontId="0" fillId="0" borderId="87" xfId="14" applyNumberFormat="1" applyFont="1" applyBorder="1" applyAlignment="1">
      <alignment vertical="center"/>
    </xf>
    <xf numFmtId="178" fontId="0" fillId="0" borderId="88" xfId="14" applyNumberFormat="1" applyFont="1" applyBorder="1" applyAlignment="1">
      <alignment vertical="center"/>
    </xf>
    <xf numFmtId="178" fontId="0" fillId="0" borderId="89" xfId="14" applyNumberFormat="1" applyFont="1" applyBorder="1" applyAlignment="1">
      <alignment vertical="center"/>
    </xf>
    <xf numFmtId="178" fontId="0" fillId="0" borderId="90" xfId="14" applyNumberFormat="1" applyFont="1" applyBorder="1" applyAlignment="1">
      <alignment vertical="center"/>
    </xf>
    <xf numFmtId="178" fontId="0" fillId="0" borderId="94" xfId="14" applyNumberFormat="1" applyFont="1" applyBorder="1" applyAlignment="1">
      <alignment vertical="center"/>
    </xf>
    <xf numFmtId="178" fontId="0" fillId="0" borderId="95" xfId="14" applyNumberFormat="1" applyFont="1" applyBorder="1" applyAlignment="1">
      <alignment vertical="center"/>
    </xf>
    <xf numFmtId="178" fontId="0" fillId="0" borderId="96" xfId="14" applyNumberFormat="1" applyFont="1" applyBorder="1" applyAlignment="1">
      <alignment vertical="center"/>
    </xf>
    <xf numFmtId="0" fontId="31" fillId="23" borderId="91" xfId="0" applyFont="1" applyFill="1" applyBorder="1" applyAlignment="1">
      <alignment horizontal="center" vertical="center"/>
    </xf>
    <xf numFmtId="0" fontId="31" fillId="23" borderId="92" xfId="0" applyFont="1" applyFill="1" applyBorder="1" applyAlignment="1">
      <alignment horizontal="center" vertical="center"/>
    </xf>
    <xf numFmtId="0" fontId="31" fillId="23" borderId="93" xfId="0" applyFont="1" applyFill="1" applyBorder="1" applyAlignment="1">
      <alignment horizontal="center" vertical="center"/>
    </xf>
    <xf numFmtId="178" fontId="31" fillId="23" borderId="91" xfId="0" applyNumberFormat="1" applyFont="1" applyFill="1" applyBorder="1" applyAlignment="1">
      <alignment vertical="center"/>
    </xf>
    <xf numFmtId="178" fontId="31" fillId="23" borderId="92" xfId="0" applyNumberFormat="1" applyFont="1" applyFill="1" applyBorder="1" applyAlignment="1">
      <alignment vertical="center"/>
    </xf>
    <xf numFmtId="178" fontId="31" fillId="23" borderId="93" xfId="0" applyNumberFormat="1" applyFont="1" applyFill="1" applyBorder="1" applyAlignment="1">
      <alignment vertical="center"/>
    </xf>
    <xf numFmtId="10" fontId="0" fillId="0" borderId="0" xfId="28" applyNumberFormat="1" applyFont="1" applyAlignment="1">
      <alignment horizontal="center" vertical="center"/>
    </xf>
    <xf numFmtId="0" fontId="80" fillId="40" borderId="45" xfId="0" applyFont="1" applyFill="1" applyBorder="1" applyAlignment="1">
      <alignment horizontal="right" vertical="center"/>
    </xf>
    <xf numFmtId="0" fontId="80" fillId="40" borderId="16" xfId="0" applyFont="1" applyFill="1" applyBorder="1" applyAlignment="1">
      <alignment horizontal="right" vertical="center"/>
    </xf>
    <xf numFmtId="172" fontId="80" fillId="40" borderId="16" xfId="0" applyNumberFormat="1" applyFont="1" applyFill="1" applyBorder="1" applyAlignment="1">
      <alignment horizontal="right" vertical="center"/>
    </xf>
    <xf numFmtId="172" fontId="81" fillId="0" borderId="1" xfId="0" applyNumberFormat="1" applyFont="1" applyBorder="1" applyAlignment="1">
      <alignment horizontal="right" vertical="center"/>
    </xf>
    <xf numFmtId="172" fontId="81" fillId="0" borderId="19" xfId="0" applyNumberFormat="1" applyFont="1" applyBorder="1" applyAlignment="1">
      <alignment horizontal="right" vertical="center"/>
    </xf>
    <xf numFmtId="172" fontId="81" fillId="0" borderId="4" xfId="0" applyNumberFormat="1" applyFont="1" applyBorder="1" applyAlignment="1">
      <alignment horizontal="right" vertical="center"/>
    </xf>
    <xf numFmtId="172" fontId="80" fillId="40" borderId="28" xfId="0" applyNumberFormat="1" applyFont="1" applyFill="1" applyBorder="1" applyAlignment="1">
      <alignment horizontal="center" vertical="center" wrapText="1"/>
    </xf>
    <xf numFmtId="49" fontId="80" fillId="40" borderId="28" xfId="0" applyNumberFormat="1" applyFont="1" applyFill="1" applyBorder="1" applyAlignment="1">
      <alignment horizontal="center" vertical="center" wrapText="1"/>
    </xf>
    <xf numFmtId="172" fontId="0" fillId="0" borderId="0" xfId="0" applyNumberFormat="1"/>
    <xf numFmtId="172" fontId="80" fillId="40" borderId="97" xfId="0" applyNumberFormat="1" applyFont="1" applyFill="1" applyBorder="1" applyAlignment="1">
      <alignment horizontal="center" vertical="center" wrapText="1"/>
    </xf>
    <xf numFmtId="172" fontId="81" fillId="0" borderId="25" xfId="0" applyNumberFormat="1" applyFont="1" applyBorder="1" applyAlignment="1">
      <alignment horizontal="right" vertical="center"/>
    </xf>
    <xf numFmtId="172" fontId="81" fillId="0" borderId="5" xfId="0" applyNumberFormat="1" applyFont="1" applyBorder="1" applyAlignment="1">
      <alignment horizontal="right" vertical="center"/>
    </xf>
    <xf numFmtId="172" fontId="81" fillId="0" borderId="49" xfId="0" applyNumberFormat="1" applyFont="1" applyBorder="1" applyAlignment="1">
      <alignment horizontal="right" vertical="center"/>
    </xf>
    <xf numFmtId="0" fontId="81" fillId="0" borderId="98" xfId="0" applyFont="1" applyBorder="1" applyAlignment="1">
      <alignment horizontal="justify" vertical="center"/>
    </xf>
    <xf numFmtId="0" fontId="81" fillId="0" borderId="99" xfId="0" applyFont="1" applyBorder="1" applyAlignment="1">
      <alignment horizontal="justify" vertical="center"/>
    </xf>
    <xf numFmtId="0" fontId="81" fillId="0" borderId="100" xfId="0" applyFont="1" applyBorder="1" applyAlignment="1">
      <alignment horizontal="justify" vertical="center"/>
    </xf>
    <xf numFmtId="49" fontId="80" fillId="40" borderId="101" xfId="0" applyNumberFormat="1" applyFont="1" applyFill="1" applyBorder="1" applyAlignment="1">
      <alignment horizontal="center" vertical="center" wrapText="1"/>
    </xf>
    <xf numFmtId="172" fontId="81" fillId="0" borderId="20" xfId="0" applyNumberFormat="1" applyFont="1" applyBorder="1" applyAlignment="1">
      <alignment horizontal="right" vertical="center"/>
    </xf>
    <xf numFmtId="172" fontId="81" fillId="0" borderId="2" xfId="0" applyNumberFormat="1" applyFont="1" applyBorder="1" applyAlignment="1">
      <alignment horizontal="right" vertical="center"/>
    </xf>
    <xf numFmtId="172" fontId="81" fillId="0" borderId="21" xfId="0" applyNumberFormat="1" applyFont="1" applyBorder="1" applyAlignment="1">
      <alignment horizontal="right" vertical="center"/>
    </xf>
    <xf numFmtId="172" fontId="80" fillId="40" borderId="15" xfId="0" applyNumberFormat="1" applyFont="1" applyFill="1" applyBorder="1" applyAlignment="1">
      <alignment horizontal="right" vertical="center"/>
    </xf>
    <xf numFmtId="172" fontId="80" fillId="40" borderId="17" xfId="0" applyNumberFormat="1" applyFont="1" applyFill="1" applyBorder="1" applyAlignment="1">
      <alignment horizontal="center" vertical="center" wrapText="1"/>
    </xf>
    <xf numFmtId="172" fontId="82" fillId="0" borderId="98" xfId="0" applyNumberFormat="1" applyFont="1" applyBorder="1" applyAlignment="1">
      <alignment horizontal="right" vertical="center"/>
    </xf>
    <xf numFmtId="172" fontId="82" fillId="0" borderId="99" xfId="0" applyNumberFormat="1" applyFont="1" applyBorder="1" applyAlignment="1">
      <alignment horizontal="right" vertical="center"/>
    </xf>
    <xf numFmtId="172" fontId="82" fillId="0" borderId="100" xfId="0" applyNumberFormat="1" applyFont="1" applyBorder="1" applyAlignment="1">
      <alignment horizontal="right" vertical="center"/>
    </xf>
    <xf numFmtId="172" fontId="80" fillId="40" borderId="45" xfId="0" applyNumberFormat="1" applyFont="1" applyFill="1" applyBorder="1" applyAlignment="1">
      <alignment horizontal="right" vertical="center"/>
    </xf>
    <xf numFmtId="2" fontId="11" fillId="0" borderId="8" xfId="22" applyNumberFormat="1" applyFont="1" applyBorder="1" applyAlignment="1">
      <alignment horizontal="justify" vertical="center" wrapText="1"/>
    </xf>
    <xf numFmtId="2" fontId="11" fillId="0" borderId="31" xfId="22" applyNumberFormat="1" applyFont="1" applyBorder="1" applyAlignment="1">
      <alignment horizontal="justify" vertical="center" wrapText="1"/>
    </xf>
    <xf numFmtId="9" fontId="11" fillId="0" borderId="1" xfId="28" applyFont="1" applyBorder="1" applyAlignment="1">
      <alignment horizontal="center" vertical="center" wrapText="1"/>
    </xf>
    <xf numFmtId="9" fontId="11" fillId="0" borderId="19" xfId="28" applyFont="1" applyBorder="1" applyAlignment="1">
      <alignment horizontal="center" vertical="center" wrapText="1"/>
    </xf>
    <xf numFmtId="9" fontId="32" fillId="0" borderId="1" xfId="22" applyNumberFormat="1" applyFont="1" applyBorder="1" applyAlignment="1">
      <alignment horizontal="justify" vertical="center" wrapText="1"/>
    </xf>
    <xf numFmtId="9" fontId="32" fillId="0" borderId="9" xfId="22" applyNumberFormat="1" applyFont="1" applyBorder="1" applyAlignment="1">
      <alignment horizontal="justify" vertical="center" wrapText="1"/>
    </xf>
    <xf numFmtId="9" fontId="32" fillId="0" borderId="19" xfId="22" applyNumberFormat="1" applyFont="1" applyBorder="1" applyAlignment="1">
      <alignment horizontal="justify" vertical="center" wrapText="1"/>
    </xf>
    <xf numFmtId="9" fontId="32" fillId="0" borderId="33" xfId="22" applyNumberFormat="1" applyFont="1" applyBorder="1" applyAlignment="1">
      <alignment horizontal="justify" vertical="center" wrapText="1"/>
    </xf>
    <xf numFmtId="0" fontId="12" fillId="20" borderId="20"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11" fillId="0" borderId="18" xfId="22" applyFont="1" applyBorder="1" applyAlignment="1">
      <alignment horizontal="center" vertical="center" wrapText="1"/>
    </xf>
    <xf numFmtId="0" fontId="11" fillId="0" borderId="79" xfId="22" applyFont="1" applyBorder="1" applyAlignment="1">
      <alignment horizontal="center" vertical="center" wrapText="1"/>
    </xf>
    <xf numFmtId="9" fontId="12" fillId="0" borderId="10" xfId="22" applyNumberFormat="1" applyFont="1" applyBorder="1" applyAlignment="1">
      <alignment horizontal="center" vertical="center" wrapText="1"/>
    </xf>
    <xf numFmtId="0" fontId="12" fillId="0" borderId="35" xfId="22" applyFont="1" applyBorder="1" applyAlignment="1">
      <alignment horizontal="center" vertical="center" wrapText="1"/>
    </xf>
    <xf numFmtId="9" fontId="33" fillId="0" borderId="55" xfId="30" applyFont="1" applyFill="1" applyBorder="1" applyAlignment="1" applyProtection="1">
      <alignment horizontal="center" vertical="center" wrapText="1"/>
    </xf>
    <xf numFmtId="9" fontId="33" fillId="0" borderId="22" xfId="30" applyFont="1" applyFill="1" applyBorder="1" applyAlignment="1" applyProtection="1">
      <alignment horizontal="center" vertical="center" wrapText="1"/>
    </xf>
    <xf numFmtId="9" fontId="33" fillId="0" borderId="23" xfId="30" applyFont="1" applyFill="1" applyBorder="1" applyAlignment="1" applyProtection="1">
      <alignment horizontal="center" vertical="center" wrapText="1"/>
    </xf>
    <xf numFmtId="9" fontId="33" fillId="0" borderId="64" xfId="30" applyFont="1" applyFill="1" applyBorder="1" applyAlignment="1" applyProtection="1">
      <alignment horizontal="center" vertical="center" wrapText="1"/>
    </xf>
    <xf numFmtId="9" fontId="33" fillId="0" borderId="0" xfId="30" applyFont="1" applyFill="1" applyBorder="1" applyAlignment="1" applyProtection="1">
      <alignment horizontal="center" vertical="center" wrapText="1"/>
    </xf>
    <xf numFmtId="9" fontId="33" fillId="0" borderId="24" xfId="30" applyFont="1" applyFill="1" applyBorder="1" applyAlignment="1" applyProtection="1">
      <alignment horizontal="center" vertical="center" wrapText="1"/>
    </xf>
    <xf numFmtId="9" fontId="33" fillId="0" borderId="61" xfId="30" applyFont="1" applyFill="1" applyBorder="1" applyAlignment="1" applyProtection="1">
      <alignment horizontal="center" vertical="center" wrapText="1"/>
    </xf>
    <xf numFmtId="9" fontId="33" fillId="0" borderId="14" xfId="30" applyFont="1" applyFill="1" applyBorder="1" applyAlignment="1" applyProtection="1">
      <alignment horizontal="center" vertical="center" wrapText="1"/>
    </xf>
    <xf numFmtId="0" fontId="12" fillId="20" borderId="8"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2" fillId="20" borderId="9" xfId="22" applyFont="1" applyFill="1" applyBorder="1" applyAlignment="1">
      <alignment horizontal="center" vertical="center" wrapText="1"/>
    </xf>
    <xf numFmtId="4" fontId="12" fillId="0" borderId="55" xfId="22" applyNumberFormat="1" applyFont="1" applyBorder="1" applyAlignment="1">
      <alignment horizontal="center" vertical="center" wrapText="1"/>
    </xf>
    <xf numFmtId="4" fontId="12" fillId="0" borderId="23" xfId="22" applyNumberFormat="1" applyFont="1" applyBorder="1" applyAlignment="1">
      <alignment horizontal="center" vertical="center" wrapText="1"/>
    </xf>
    <xf numFmtId="0" fontId="32" fillId="0" borderId="1" xfId="22" applyFont="1" applyBorder="1" applyAlignment="1">
      <alignment horizontal="left" vertical="center" wrapText="1"/>
    </xf>
    <xf numFmtId="0" fontId="32" fillId="0" borderId="9" xfId="22" applyFont="1" applyBorder="1" applyAlignment="1">
      <alignment horizontal="left" vertical="center" wrapText="1"/>
    </xf>
    <xf numFmtId="0" fontId="12" fillId="0" borderId="40" xfId="22" applyFont="1" applyBorder="1" applyAlignment="1">
      <alignment horizontal="center" vertical="center" wrapText="1"/>
    </xf>
    <xf numFmtId="0" fontId="12" fillId="0" borderId="47" xfId="22" applyFont="1" applyBorder="1" applyAlignment="1">
      <alignment horizontal="center" vertical="center" wrapText="1"/>
    </xf>
    <xf numFmtId="0" fontId="12" fillId="0" borderId="48" xfId="22" applyFont="1" applyBorder="1" applyAlignment="1">
      <alignment horizontal="center" vertical="center" wrapText="1"/>
    </xf>
    <xf numFmtId="0" fontId="11" fillId="20" borderId="1"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19" borderId="40" xfId="22" applyFont="1" applyFill="1" applyBorder="1" applyAlignment="1">
      <alignment horizontal="center" vertical="center" wrapText="1"/>
    </xf>
    <xf numFmtId="0" fontId="12" fillId="19" borderId="46" xfId="22" applyFont="1" applyFill="1" applyBorder="1" applyAlignment="1">
      <alignment horizontal="center" vertical="center" wrapText="1"/>
    </xf>
    <xf numFmtId="0" fontId="12" fillId="19" borderId="47" xfId="22" applyFont="1" applyFill="1" applyBorder="1" applyAlignment="1">
      <alignment horizontal="center" vertical="center" wrapText="1"/>
    </xf>
    <xf numFmtId="0" fontId="12" fillId="19" borderId="48" xfId="22" applyFont="1" applyFill="1" applyBorder="1" applyAlignment="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56" xfId="22" applyFont="1" applyFill="1" applyBorder="1" applyAlignment="1">
      <alignment horizontal="center" vertical="center" wrapText="1"/>
    </xf>
    <xf numFmtId="0" fontId="12" fillId="20" borderId="5" xfId="22" applyFont="1" applyFill="1" applyBorder="1" applyAlignment="1">
      <alignment horizontal="center" vertical="center" wrapText="1"/>
    </xf>
    <xf numFmtId="9" fontId="12" fillId="0" borderId="36" xfId="22" applyNumberFormat="1" applyFont="1" applyBorder="1" applyAlignment="1">
      <alignment horizontal="center" vertical="center" wrapText="1"/>
    </xf>
    <xf numFmtId="9" fontId="12" fillId="0" borderId="38" xfId="22" applyNumberFormat="1" applyFont="1" applyBorder="1" applyAlignment="1">
      <alignment horizontal="center" vertical="center" wrapText="1"/>
    </xf>
    <xf numFmtId="0" fontId="12" fillId="20" borderId="36"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20" borderId="38"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40" xfId="22" applyFont="1" applyFill="1" applyBorder="1" applyAlignment="1">
      <alignment horizontal="center" vertical="center" wrapText="1"/>
    </xf>
    <xf numFmtId="0" fontId="12" fillId="20" borderId="41" xfId="22" applyFont="1" applyFill="1" applyBorder="1" applyAlignment="1">
      <alignment horizontal="center" vertical="center" wrapText="1"/>
    </xf>
    <xf numFmtId="0" fontId="12" fillId="19" borderId="15" xfId="22" applyFont="1" applyFill="1" applyBorder="1" applyAlignment="1">
      <alignment horizontal="left" vertical="center" wrapText="1"/>
    </xf>
    <xf numFmtId="0" fontId="12" fillId="20" borderId="36" xfId="22" applyFont="1" applyFill="1" applyBorder="1" applyAlignment="1">
      <alignment horizontal="left" vertical="center" wrapText="1"/>
    </xf>
    <xf numFmtId="0" fontId="12" fillId="20" borderId="38" xfId="22" applyFont="1" applyFill="1" applyBorder="1" applyAlignment="1">
      <alignment horizontal="left" vertical="center" wrapText="1"/>
    </xf>
    <xf numFmtId="0" fontId="11" fillId="0" borderId="36" xfId="22" applyFont="1" applyBorder="1" applyAlignment="1">
      <alignment horizontal="center" vertical="center" wrapText="1"/>
    </xf>
    <xf numFmtId="0" fontId="11" fillId="0" borderId="37" xfId="22" applyFont="1" applyBorder="1" applyAlignment="1">
      <alignment horizontal="center" vertical="center" wrapText="1"/>
    </xf>
    <xf numFmtId="0" fontId="11" fillId="0" borderId="38" xfId="22" applyFont="1" applyBorder="1" applyAlignment="1">
      <alignment horizontal="center" vertical="center" wrapText="1"/>
    </xf>
    <xf numFmtId="1" fontId="12" fillId="0" borderId="36" xfId="28" applyNumberFormat="1" applyFont="1" applyFill="1" applyBorder="1" applyAlignment="1" applyProtection="1">
      <alignment horizontal="center" vertical="center" wrapText="1"/>
    </xf>
    <xf numFmtId="1" fontId="12" fillId="0" borderId="38" xfId="28" applyNumberFormat="1" applyFont="1" applyFill="1" applyBorder="1" applyAlignment="1" applyProtection="1">
      <alignment horizontal="center" vertical="center" wrapText="1"/>
    </xf>
    <xf numFmtId="0" fontId="12" fillId="0" borderId="36"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38" xfId="22" applyFont="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31" fillId="0" borderId="52" xfId="0" applyFont="1" applyBorder="1" applyAlignment="1">
      <alignment horizontal="center" vertical="center" wrapText="1"/>
    </xf>
    <xf numFmtId="0" fontId="31" fillId="0" borderId="26" xfId="0" applyFont="1" applyBorder="1" applyAlignment="1">
      <alignment horizontal="center" vertical="center" wrapText="1"/>
    </xf>
    <xf numFmtId="0" fontId="0" fillId="0" borderId="52" xfId="0" applyBorder="1" applyAlignment="1">
      <alignment horizontal="center" vertical="center"/>
    </xf>
    <xf numFmtId="0" fontId="0" fillId="0" borderId="26" xfId="0" applyBorder="1" applyAlignment="1">
      <alignment horizontal="center" vertical="center"/>
    </xf>
    <xf numFmtId="0" fontId="31" fillId="0" borderId="53" xfId="0" applyFont="1" applyBorder="1" applyAlignment="1">
      <alignment horizontal="center" vertical="center" wrapText="1"/>
    </xf>
    <xf numFmtId="0" fontId="31" fillId="0" borderId="54" xfId="0" applyFont="1" applyBorder="1" applyAlignment="1">
      <alignment horizontal="center" vertical="center" wrapText="1"/>
    </xf>
    <xf numFmtId="0" fontId="31" fillId="0" borderId="53" xfId="0" applyFont="1" applyBorder="1" applyAlignment="1">
      <alignment horizontal="center" vertical="center"/>
    </xf>
    <xf numFmtId="0" fontId="31" fillId="0" borderId="54" xfId="0" applyFont="1" applyBorder="1" applyAlignment="1">
      <alignment horizontal="center" vertical="center"/>
    </xf>
    <xf numFmtId="0" fontId="12" fillId="20" borderId="42"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39"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0" borderId="42"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39"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38" fillId="0" borderId="43" xfId="0" applyFont="1" applyBorder="1" applyAlignment="1">
      <alignment horizontal="center" vertical="center"/>
    </xf>
    <xf numFmtId="0" fontId="38" fillId="0" borderId="44" xfId="0" applyFont="1" applyBorder="1" applyAlignment="1">
      <alignment horizontal="center" vertical="center"/>
    </xf>
    <xf numFmtId="0" fontId="38" fillId="0" borderId="45"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37" fillId="0" borderId="42"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39" xfId="0" applyFont="1" applyBorder="1" applyAlignment="1">
      <alignment horizontal="center" vertical="center"/>
    </xf>
    <xf numFmtId="0" fontId="37" fillId="0" borderId="16" xfId="0" applyFont="1" applyBorder="1" applyAlignment="1">
      <alignment horizontal="center" vertical="center"/>
    </xf>
    <xf numFmtId="0" fontId="31" fillId="0" borderId="50" xfId="0" applyFont="1" applyBorder="1" applyAlignment="1">
      <alignment horizontal="center" vertical="center" wrapText="1"/>
    </xf>
    <xf numFmtId="0" fontId="31" fillId="0" borderId="51" xfId="0" applyFont="1" applyBorder="1" applyAlignment="1">
      <alignment horizontal="center" vertical="center" wrapText="1"/>
    </xf>
    <xf numFmtId="0" fontId="11" fillId="0" borderId="43" xfId="22" applyFont="1" applyBorder="1" applyAlignment="1">
      <alignment horizontal="center" vertical="center" wrapText="1"/>
    </xf>
    <xf numFmtId="0" fontId="11" fillId="0" borderId="44" xfId="22" applyFont="1" applyBorder="1" applyAlignment="1">
      <alignment horizontal="center" vertical="center" wrapText="1"/>
    </xf>
    <xf numFmtId="0" fontId="11" fillId="0" borderId="45" xfId="22" applyFont="1" applyBorder="1" applyAlignment="1">
      <alignment horizontal="center" vertical="center" wrapText="1"/>
    </xf>
    <xf numFmtId="0" fontId="12" fillId="0" borderId="42"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12" fillId="0" borderId="48" xfId="0" applyFont="1" applyBorder="1" applyAlignment="1">
      <alignment horizontal="left"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12" fillId="0" borderId="9" xfId="0" applyFont="1" applyBorder="1" applyAlignment="1">
      <alignment horizontal="left" vertical="center" wrapText="1"/>
    </xf>
    <xf numFmtId="0" fontId="34" fillId="0" borderId="49" xfId="0" applyFont="1" applyBorder="1" applyAlignment="1">
      <alignment horizontal="left" vertical="center" wrapText="1"/>
    </xf>
    <xf numFmtId="0" fontId="34" fillId="0" borderId="19" xfId="0" applyFont="1" applyBorder="1" applyAlignment="1">
      <alignment horizontal="left" vertical="center" wrapText="1"/>
    </xf>
    <xf numFmtId="0" fontId="34" fillId="0" borderId="33" xfId="0" applyFont="1" applyBorder="1" applyAlignment="1">
      <alignment horizontal="left" vertical="center" wrapText="1"/>
    </xf>
    <xf numFmtId="0" fontId="39" fillId="0" borderId="49" xfId="0" applyFont="1" applyBorder="1" applyAlignment="1">
      <alignment horizontal="left" vertical="center" wrapText="1"/>
    </xf>
    <xf numFmtId="0" fontId="39" fillId="0" borderId="19" xfId="0" applyFont="1" applyBorder="1" applyAlignment="1">
      <alignment horizontal="left" vertical="center" wrapText="1"/>
    </xf>
    <xf numFmtId="0" fontId="39" fillId="0" borderId="33" xfId="0" applyFont="1" applyBorder="1" applyAlignment="1">
      <alignment horizontal="left" vertical="center" wrapText="1"/>
    </xf>
    <xf numFmtId="0" fontId="19" fillId="0" borderId="46" xfId="0" applyFont="1" applyBorder="1" applyAlignment="1">
      <alignment horizontal="left" vertical="center" wrapText="1"/>
    </xf>
    <xf numFmtId="0" fontId="19" fillId="0" borderId="47" xfId="0" applyFont="1" applyBorder="1" applyAlignment="1">
      <alignment horizontal="left" vertical="center" wrapText="1"/>
    </xf>
    <xf numFmtId="0" fontId="19" fillId="0" borderId="48"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76" fillId="0" borderId="53" xfId="0" applyFont="1" applyBorder="1" applyAlignment="1">
      <alignment horizontal="center" vertical="center"/>
    </xf>
    <xf numFmtId="0" fontId="76" fillId="0" borderId="54" xfId="0" applyFont="1" applyBorder="1" applyAlignment="1">
      <alignment horizontal="center" vertical="center"/>
    </xf>
    <xf numFmtId="3" fontId="12" fillId="0" borderId="36" xfId="28" applyNumberFormat="1" applyFont="1" applyFill="1" applyBorder="1" applyAlignment="1" applyProtection="1">
      <alignment horizontal="center" vertical="center" wrapText="1"/>
    </xf>
    <xf numFmtId="3" fontId="12" fillId="0" borderId="38" xfId="28" applyNumberFormat="1" applyFont="1" applyFill="1" applyBorder="1" applyAlignment="1" applyProtection="1">
      <alignment horizontal="center" vertical="center" wrapText="1"/>
    </xf>
    <xf numFmtId="3" fontId="12" fillId="0" borderId="55"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12" fillId="20" borderId="18" xfId="22" applyFont="1" applyFill="1" applyBorder="1" applyAlignment="1">
      <alignment horizontal="center" vertical="center" wrapText="1"/>
    </xf>
    <xf numFmtId="0" fontId="12" fillId="20" borderId="32" xfId="22" applyFont="1" applyFill="1" applyBorder="1" applyAlignment="1">
      <alignment horizontal="center" vertical="center" wrapText="1"/>
    </xf>
    <xf numFmtId="0" fontId="11" fillId="0" borderId="18" xfId="22" applyFont="1" applyBorder="1" applyAlignment="1">
      <alignment horizontal="justify" vertical="center" wrapText="1"/>
    </xf>
    <xf numFmtId="0" fontId="11" fillId="0" borderId="57" xfId="22" applyFont="1" applyBorder="1" applyAlignment="1">
      <alignment horizontal="justify" vertical="center" wrapText="1"/>
    </xf>
    <xf numFmtId="0" fontId="12" fillId="0" borderId="58" xfId="22" applyFont="1" applyBorder="1" applyAlignment="1">
      <alignment horizontal="center" vertical="center" wrapText="1"/>
    </xf>
    <xf numFmtId="9" fontId="32" fillId="0" borderId="55" xfId="30" applyFont="1" applyFill="1" applyBorder="1" applyAlignment="1" applyProtection="1">
      <alignment horizontal="justify" vertical="center" wrapText="1"/>
    </xf>
    <xf numFmtId="9" fontId="32" fillId="0" borderId="22" xfId="30" applyFont="1" applyFill="1" applyBorder="1" applyAlignment="1" applyProtection="1">
      <alignment horizontal="justify" vertical="center" wrapText="1"/>
    </xf>
    <xf numFmtId="9" fontId="32" fillId="0" borderId="23" xfId="30" applyFont="1" applyFill="1" applyBorder="1" applyAlignment="1" applyProtection="1">
      <alignment horizontal="justify" vertical="center" wrapText="1"/>
    </xf>
    <xf numFmtId="9" fontId="32" fillId="0" borderId="59" xfId="30" applyFont="1" applyFill="1" applyBorder="1" applyAlignment="1" applyProtection="1">
      <alignment horizontal="justify" vertical="center" wrapText="1"/>
    </xf>
    <xf numFmtId="9" fontId="32" fillId="0" borderId="15" xfId="30" applyFont="1" applyFill="1" applyBorder="1" applyAlignment="1" applyProtection="1">
      <alignment horizontal="justify" vertical="center" wrapText="1"/>
    </xf>
    <xf numFmtId="9" fontId="32" fillId="0" borderId="60" xfId="30" applyFont="1" applyFill="1" applyBorder="1" applyAlignment="1" applyProtection="1">
      <alignment horizontal="justify" vertical="center" wrapText="1"/>
    </xf>
    <xf numFmtId="9" fontId="33" fillId="0" borderId="59"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60"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2" fontId="11" fillId="0" borderId="32" xfId="22" applyNumberFormat="1" applyFont="1" applyBorder="1" applyAlignment="1">
      <alignment horizontal="justify" vertical="center" wrapText="1"/>
    </xf>
    <xf numFmtId="9" fontId="11" fillId="0" borderId="35" xfId="28" applyFont="1" applyBorder="1" applyAlignment="1">
      <alignment horizontal="center" vertical="center" wrapText="1"/>
    </xf>
    <xf numFmtId="9" fontId="11" fillId="0" borderId="58" xfId="28" applyFont="1" applyBorder="1" applyAlignment="1">
      <alignment horizontal="center" vertical="center" wrapText="1"/>
    </xf>
    <xf numFmtId="9" fontId="32" fillId="0" borderId="55" xfId="22" applyNumberFormat="1" applyFont="1" applyBorder="1" applyAlignment="1">
      <alignment horizontal="justify" vertical="center" wrapText="1"/>
    </xf>
    <xf numFmtId="9" fontId="32" fillId="0" borderId="22" xfId="22" applyNumberFormat="1" applyFont="1" applyBorder="1" applyAlignment="1">
      <alignment horizontal="justify" vertical="center" wrapText="1"/>
    </xf>
    <xf numFmtId="9" fontId="32" fillId="0" borderId="61" xfId="22" applyNumberFormat="1" applyFont="1" applyBorder="1" applyAlignment="1">
      <alignment horizontal="justify" vertical="center" wrapText="1"/>
    </xf>
    <xf numFmtId="9" fontId="32" fillId="0" borderId="59" xfId="22" applyNumberFormat="1" applyFont="1" applyBorder="1" applyAlignment="1">
      <alignment horizontal="justify" vertical="center" wrapText="1"/>
    </xf>
    <xf numFmtId="9" fontId="32" fillId="0" borderId="15" xfId="22" applyNumberFormat="1" applyFont="1" applyBorder="1" applyAlignment="1">
      <alignment horizontal="justify" vertical="center" wrapText="1"/>
    </xf>
    <xf numFmtId="9" fontId="32" fillId="0" borderId="16" xfId="22" applyNumberFormat="1" applyFont="1" applyBorder="1" applyAlignment="1">
      <alignment horizontal="justify" vertical="center" wrapText="1"/>
    </xf>
    <xf numFmtId="0" fontId="12" fillId="20" borderId="62" xfId="22" applyFont="1" applyFill="1" applyBorder="1" applyAlignment="1">
      <alignment horizontal="center" vertical="center" wrapText="1"/>
    </xf>
    <xf numFmtId="0" fontId="12" fillId="20" borderId="4"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63"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9" fontId="45" fillId="0" borderId="77" xfId="0" applyNumberFormat="1" applyFont="1" applyBorder="1" applyAlignment="1">
      <alignment horizontal="center" vertical="center" wrapText="1"/>
    </xf>
    <xf numFmtId="0" fontId="44" fillId="0" borderId="82" xfId="0" applyFont="1" applyBorder="1" applyAlignment="1"/>
    <xf numFmtId="0" fontId="43" fillId="28" borderId="77" xfId="0" applyFont="1" applyFill="1" applyBorder="1" applyAlignment="1">
      <alignment horizontal="center" vertical="center" wrapText="1"/>
    </xf>
    <xf numFmtId="9" fontId="11" fillId="0" borderId="10" xfId="22" applyNumberFormat="1" applyFont="1" applyBorder="1" applyAlignment="1">
      <alignment horizontal="center" vertical="center" wrapText="1"/>
    </xf>
    <xf numFmtId="9" fontId="11" fillId="0" borderId="58" xfId="22" applyNumberFormat="1" applyFont="1" applyBorder="1" applyAlignment="1">
      <alignment horizontal="center" vertical="center" wrapText="1"/>
    </xf>
    <xf numFmtId="9" fontId="11" fillId="0" borderId="4" xfId="22" applyNumberFormat="1" applyFont="1" applyBorder="1" applyAlignment="1">
      <alignment horizontal="center" vertical="center" wrapText="1"/>
    </xf>
    <xf numFmtId="186" fontId="12" fillId="0" borderId="36" xfId="28" applyNumberFormat="1" applyFont="1" applyFill="1" applyBorder="1" applyAlignment="1" applyProtection="1">
      <alignment horizontal="center" vertical="center" wrapText="1"/>
    </xf>
    <xf numFmtId="186" fontId="12" fillId="0" borderId="38" xfId="28" applyNumberFormat="1" applyFont="1" applyFill="1" applyBorder="1" applyAlignment="1" applyProtection="1">
      <alignment horizontal="center" vertical="center" wrapText="1"/>
    </xf>
    <xf numFmtId="9" fontId="36" fillId="24" borderId="55" xfId="30" applyFont="1" applyFill="1" applyBorder="1" applyAlignment="1" applyProtection="1">
      <alignment horizontal="justify" vertical="center" wrapText="1"/>
    </xf>
    <xf numFmtId="9" fontId="36" fillId="24" borderId="22" xfId="30" applyFont="1" applyFill="1" applyBorder="1" applyAlignment="1" applyProtection="1">
      <alignment horizontal="justify" vertical="center" wrapText="1"/>
    </xf>
    <xf numFmtId="9" fontId="36" fillId="24" borderId="23" xfId="30" applyFont="1" applyFill="1" applyBorder="1" applyAlignment="1" applyProtection="1">
      <alignment horizontal="justify" vertical="center" wrapText="1"/>
    </xf>
    <xf numFmtId="9" fontId="36" fillId="24" borderId="59" xfId="30" applyFont="1" applyFill="1" applyBorder="1" applyAlignment="1" applyProtection="1">
      <alignment horizontal="justify" vertical="center" wrapText="1"/>
    </xf>
    <xf numFmtId="9" fontId="36" fillId="24" borderId="15" xfId="30" applyFont="1" applyFill="1" applyBorder="1" applyAlignment="1" applyProtection="1">
      <alignment horizontal="justify" vertical="center" wrapText="1"/>
    </xf>
    <xf numFmtId="9" fontId="36" fillId="24" borderId="60" xfId="30" applyFont="1" applyFill="1" applyBorder="1" applyAlignment="1" applyProtection="1">
      <alignment horizontal="justify" vertical="center" wrapText="1"/>
    </xf>
    <xf numFmtId="9" fontId="36" fillId="0" borderId="55" xfId="30" applyFont="1" applyFill="1" applyBorder="1" applyAlignment="1" applyProtection="1">
      <alignment horizontal="justify" vertical="center" wrapText="1"/>
    </xf>
    <xf numFmtId="9" fontId="36" fillId="0" borderId="22" xfId="30" applyFont="1" applyFill="1" applyBorder="1" applyAlignment="1" applyProtection="1">
      <alignment horizontal="justify" vertical="center" wrapText="1"/>
    </xf>
    <xf numFmtId="9" fontId="36" fillId="0" borderId="23" xfId="30" applyFont="1" applyFill="1" applyBorder="1" applyAlignment="1" applyProtection="1">
      <alignment horizontal="justify" vertical="center" wrapText="1"/>
    </xf>
    <xf numFmtId="9" fontId="36" fillId="0" borderId="59" xfId="30" applyFont="1" applyFill="1" applyBorder="1" applyAlignment="1" applyProtection="1">
      <alignment horizontal="justify" vertical="center" wrapText="1"/>
    </xf>
    <xf numFmtId="9" fontId="36" fillId="0" borderId="15" xfId="30" applyFont="1" applyFill="1" applyBorder="1" applyAlignment="1" applyProtection="1">
      <alignment horizontal="justify" vertical="center" wrapText="1"/>
    </xf>
    <xf numFmtId="9" fontId="36" fillId="0" borderId="60" xfId="30" applyFont="1" applyFill="1" applyBorder="1" applyAlignment="1" applyProtection="1">
      <alignment horizontal="justify" vertical="center" wrapText="1"/>
    </xf>
    <xf numFmtId="9" fontId="36" fillId="0" borderId="61" xfId="30" applyFont="1" applyFill="1" applyBorder="1" applyAlignment="1" applyProtection="1">
      <alignment horizontal="justify" vertical="center" wrapText="1"/>
    </xf>
    <xf numFmtId="9" fontId="36" fillId="0" borderId="16" xfId="30" applyFont="1" applyFill="1" applyBorder="1" applyAlignment="1" applyProtection="1">
      <alignment horizontal="justify" vertical="center" wrapText="1"/>
    </xf>
    <xf numFmtId="0" fontId="12" fillId="20" borderId="35" xfId="22" applyFont="1" applyFill="1" applyBorder="1" applyAlignment="1">
      <alignment horizontal="center" vertical="center" wrapText="1"/>
    </xf>
    <xf numFmtId="0" fontId="12" fillId="20" borderId="22" xfId="22" applyFont="1" applyFill="1" applyBorder="1" applyAlignment="1">
      <alignment horizontal="center" vertical="center" wrapText="1"/>
    </xf>
    <xf numFmtId="0" fontId="12" fillId="20" borderId="61" xfId="22" applyFont="1" applyFill="1" applyBorder="1" applyAlignment="1">
      <alignment horizontal="center" vertical="center" wrapText="1"/>
    </xf>
    <xf numFmtId="9" fontId="75" fillId="24" borderId="5" xfId="22" applyNumberFormat="1" applyFont="1" applyFill="1" applyBorder="1" applyAlignment="1">
      <alignment horizontal="justify" vertical="center" wrapText="1"/>
    </xf>
    <xf numFmtId="9" fontId="75" fillId="24" borderId="1" xfId="22" applyNumberFormat="1" applyFont="1" applyFill="1" applyBorder="1" applyAlignment="1">
      <alignment horizontal="justify" vertical="center" wrapText="1"/>
    </xf>
    <xf numFmtId="9" fontId="75" fillId="24" borderId="9" xfId="22" applyNumberFormat="1" applyFont="1" applyFill="1" applyBorder="1" applyAlignment="1">
      <alignment horizontal="justify" vertical="center" wrapText="1"/>
    </xf>
    <xf numFmtId="9" fontId="75" fillId="24" borderId="49" xfId="22" applyNumberFormat="1" applyFont="1" applyFill="1" applyBorder="1" applyAlignment="1">
      <alignment horizontal="justify" vertical="center" wrapText="1"/>
    </xf>
    <xf numFmtId="9" fontId="75" fillId="24" borderId="19" xfId="22" applyNumberFormat="1" applyFont="1" applyFill="1" applyBorder="1" applyAlignment="1">
      <alignment horizontal="justify" vertical="center" wrapText="1"/>
    </xf>
    <xf numFmtId="9" fontId="75" fillId="24" borderId="33" xfId="22" applyNumberFormat="1" applyFont="1" applyFill="1" applyBorder="1" applyAlignment="1">
      <alignment horizontal="justify" vertical="center" wrapText="1"/>
    </xf>
    <xf numFmtId="9" fontId="36" fillId="24" borderId="5" xfId="22" applyNumberFormat="1" applyFont="1" applyFill="1" applyBorder="1" applyAlignment="1">
      <alignment horizontal="justify" vertical="center" wrapText="1"/>
    </xf>
    <xf numFmtId="9" fontId="36" fillId="24" borderId="1" xfId="22" applyNumberFormat="1" applyFont="1" applyFill="1" applyBorder="1" applyAlignment="1">
      <alignment horizontal="justify" vertical="center" wrapText="1"/>
    </xf>
    <xf numFmtId="9" fontId="36" fillId="24" borderId="9" xfId="22" applyNumberFormat="1" applyFont="1" applyFill="1" applyBorder="1" applyAlignment="1">
      <alignment horizontal="justify" vertical="center" wrapText="1"/>
    </xf>
    <xf numFmtId="9" fontId="36" fillId="24" borderId="49" xfId="22" applyNumberFormat="1" applyFont="1" applyFill="1" applyBorder="1" applyAlignment="1">
      <alignment horizontal="justify" vertical="center" wrapText="1"/>
    </xf>
    <xf numFmtId="9" fontId="36" fillId="24" borderId="19" xfId="22" applyNumberFormat="1" applyFont="1" applyFill="1" applyBorder="1" applyAlignment="1">
      <alignment horizontal="justify" vertical="center" wrapText="1"/>
    </xf>
    <xf numFmtId="9" fontId="36" fillId="24" borderId="33" xfId="22" applyNumberFormat="1" applyFont="1" applyFill="1" applyBorder="1" applyAlignment="1">
      <alignment horizontal="justify" vertical="center" wrapText="1"/>
    </xf>
    <xf numFmtId="2" fontId="11" fillId="0" borderId="40" xfId="22" applyNumberFormat="1" applyFont="1" applyBorder="1" applyAlignment="1">
      <alignment horizontal="justify" vertical="center" wrapText="1"/>
    </xf>
    <xf numFmtId="9" fontId="11" fillId="0" borderId="62" xfId="22" applyNumberFormat="1" applyFont="1" applyBorder="1" applyAlignment="1">
      <alignment horizontal="center" vertical="center" wrapText="1"/>
    </xf>
    <xf numFmtId="9" fontId="36" fillId="24" borderId="46" xfId="22" applyNumberFormat="1" applyFont="1" applyFill="1" applyBorder="1" applyAlignment="1">
      <alignment horizontal="justify" vertical="center" wrapText="1"/>
    </xf>
    <xf numFmtId="9" fontId="36" fillId="24" borderId="47" xfId="22" applyNumberFormat="1" applyFont="1" applyFill="1" applyBorder="1" applyAlignment="1">
      <alignment horizontal="justify" vertical="center" wrapText="1"/>
    </xf>
    <xf numFmtId="9" fontId="36" fillId="24" borderId="48" xfId="22" applyNumberFormat="1" applyFont="1" applyFill="1" applyBorder="1" applyAlignment="1">
      <alignment horizontal="justify" vertical="center" wrapText="1"/>
    </xf>
    <xf numFmtId="0" fontId="43" fillId="28" borderId="80" xfId="0" applyFont="1" applyFill="1" applyBorder="1" applyAlignment="1">
      <alignment horizontal="center" vertical="center" wrapText="1"/>
    </xf>
    <xf numFmtId="0" fontId="44" fillId="0" borderId="81" xfId="0" applyFont="1" applyBorder="1" applyAlignment="1"/>
    <xf numFmtId="0" fontId="44" fillId="0" borderId="78" xfId="0" applyFont="1" applyBorder="1" applyAlignment="1"/>
    <xf numFmtId="9" fontId="11" fillId="0" borderId="4" xfId="28" applyFont="1" applyBorder="1" applyAlignment="1">
      <alignment horizontal="center" vertical="center" wrapText="1"/>
    </xf>
    <xf numFmtId="9" fontId="36" fillId="24" borderId="55" xfId="22" applyNumberFormat="1" applyFont="1" applyFill="1" applyBorder="1" applyAlignment="1">
      <alignment horizontal="justify" vertical="center" wrapText="1"/>
    </xf>
    <xf numFmtId="9" fontId="36" fillId="24" borderId="22" xfId="22" applyNumberFormat="1" applyFont="1" applyFill="1" applyBorder="1" applyAlignment="1">
      <alignment horizontal="justify" vertical="center" wrapText="1"/>
    </xf>
    <xf numFmtId="9" fontId="36" fillId="24" borderId="61" xfId="22" applyNumberFormat="1" applyFont="1" applyFill="1" applyBorder="1" applyAlignment="1">
      <alignment horizontal="justify" vertical="center" wrapText="1"/>
    </xf>
    <xf numFmtId="9" fontId="36" fillId="24" borderId="64" xfId="22" applyNumberFormat="1" applyFont="1" applyFill="1" applyBorder="1" applyAlignment="1">
      <alignment horizontal="justify" vertical="center" wrapText="1"/>
    </xf>
    <xf numFmtId="9" fontId="36" fillId="24" borderId="0" xfId="22" applyNumberFormat="1" applyFont="1" applyFill="1" applyAlignment="1">
      <alignment horizontal="justify" vertical="center" wrapText="1"/>
    </xf>
    <xf numFmtId="9" fontId="36" fillId="24" borderId="14" xfId="22" applyNumberFormat="1" applyFont="1" applyFill="1" applyBorder="1" applyAlignment="1">
      <alignment horizontal="justify" vertical="center" wrapText="1"/>
    </xf>
    <xf numFmtId="0" fontId="12" fillId="20" borderId="42"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36" fillId="0" borderId="1" xfId="22" applyFont="1" applyBorder="1" applyAlignment="1">
      <alignment horizontal="left" vertical="center" wrapText="1"/>
    </xf>
    <xf numFmtId="0" fontId="36" fillId="0" borderId="9" xfId="22" applyFont="1" applyBorder="1" applyAlignment="1">
      <alignment horizontal="left" vertical="center" wrapText="1"/>
    </xf>
    <xf numFmtId="9" fontId="11" fillId="0" borderId="10" xfId="28" applyFont="1" applyBorder="1" applyAlignment="1">
      <alignment horizontal="center" vertical="center" wrapText="1"/>
    </xf>
    <xf numFmtId="9" fontId="36" fillId="0" borderId="55" xfId="22" applyNumberFormat="1" applyFont="1" applyBorder="1" applyAlignment="1">
      <alignment horizontal="justify" vertical="center" wrapText="1"/>
    </xf>
    <xf numFmtId="9" fontId="36" fillId="0" borderId="22" xfId="22" applyNumberFormat="1" applyFont="1" applyBorder="1" applyAlignment="1">
      <alignment horizontal="justify" vertical="center" wrapText="1"/>
    </xf>
    <xf numFmtId="9" fontId="36" fillId="0" borderId="61" xfId="22" applyNumberFormat="1" applyFont="1" applyBorder="1" applyAlignment="1">
      <alignment horizontal="justify" vertical="center" wrapText="1"/>
    </xf>
    <xf numFmtId="9" fontId="36" fillId="0" borderId="64" xfId="22" applyNumberFormat="1" applyFont="1" applyBorder="1" applyAlignment="1">
      <alignment horizontal="justify" vertical="center" wrapText="1"/>
    </xf>
    <xf numFmtId="9" fontId="36" fillId="0" borderId="0" xfId="22" applyNumberFormat="1" applyFont="1" applyAlignment="1">
      <alignment horizontal="justify" vertical="center" wrapText="1"/>
    </xf>
    <xf numFmtId="9" fontId="36" fillId="0" borderId="14" xfId="22" applyNumberFormat="1" applyFont="1" applyBorder="1" applyAlignment="1">
      <alignment horizontal="justify" vertical="center" wrapText="1"/>
    </xf>
    <xf numFmtId="9" fontId="36" fillId="24" borderId="59" xfId="22" applyNumberFormat="1" applyFont="1" applyFill="1" applyBorder="1" applyAlignment="1">
      <alignment horizontal="justify" vertical="center" wrapText="1"/>
    </xf>
    <xf numFmtId="9" fontId="36" fillId="24" borderId="15" xfId="22" applyNumberFormat="1" applyFont="1" applyFill="1" applyBorder="1" applyAlignment="1">
      <alignment horizontal="justify" vertical="center" wrapText="1"/>
    </xf>
    <xf numFmtId="9" fontId="36" fillId="24" borderId="16" xfId="22" applyNumberFormat="1" applyFont="1" applyFill="1" applyBorder="1" applyAlignment="1">
      <alignment horizontal="justify"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0" fontId="12" fillId="0" borderId="18" xfId="22" applyFont="1" applyBorder="1" applyAlignment="1">
      <alignment horizontal="center" vertical="center" wrapText="1"/>
    </xf>
    <xf numFmtId="0" fontId="12" fillId="0" borderId="57" xfId="22" applyFont="1" applyBorder="1" applyAlignment="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12" fillId="20" borderId="39"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2" fontId="11" fillId="0" borderId="18" xfId="22" applyNumberFormat="1" applyFont="1" applyBorder="1" applyAlignment="1">
      <alignment vertical="center" wrapText="1"/>
    </xf>
    <xf numFmtId="0" fontId="0" fillId="0" borderId="57" xfId="0" applyBorder="1" applyAlignment="1">
      <alignment vertical="center" wrapText="1"/>
    </xf>
    <xf numFmtId="0" fontId="12" fillId="2"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9" fontId="33" fillId="0" borderId="55" xfId="22" applyNumberFormat="1" applyFont="1" applyBorder="1" applyAlignment="1">
      <alignment horizontal="left" vertical="center" wrapText="1"/>
    </xf>
    <xf numFmtId="9" fontId="33" fillId="0" borderId="22" xfId="22" applyNumberFormat="1" applyFont="1" applyBorder="1" applyAlignment="1">
      <alignment horizontal="left" vertical="center" wrapText="1"/>
    </xf>
    <xf numFmtId="9" fontId="33" fillId="0" borderId="61" xfId="22" applyNumberFormat="1" applyFont="1" applyBorder="1" applyAlignment="1">
      <alignment horizontal="left" vertical="center" wrapText="1"/>
    </xf>
    <xf numFmtId="9" fontId="33" fillId="0" borderId="64"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37" fillId="0" borderId="43" xfId="0" applyFont="1" applyBorder="1" applyAlignment="1">
      <alignment horizontal="center" vertical="center"/>
    </xf>
    <xf numFmtId="0" fontId="37" fillId="0" borderId="45" xfId="0" applyFont="1" applyBorder="1" applyAlignment="1">
      <alignment horizontal="center" vertical="center"/>
    </xf>
    <xf numFmtId="2" fontId="11" fillId="0" borderId="58" xfId="22" applyNumberFormat="1" applyFont="1" applyBorder="1" applyAlignment="1">
      <alignment horizontal="center" vertical="center" wrapText="1"/>
    </xf>
    <xf numFmtId="9" fontId="33" fillId="0" borderId="55" xfId="22" applyNumberFormat="1" applyFont="1" applyBorder="1" applyAlignment="1">
      <alignment horizontal="center" vertical="center" wrapText="1"/>
    </xf>
    <xf numFmtId="9" fontId="33" fillId="0" borderId="22" xfId="22" applyNumberFormat="1" applyFont="1" applyBorder="1" applyAlignment="1">
      <alignment horizontal="center" vertical="center" wrapText="1"/>
    </xf>
    <xf numFmtId="9" fontId="33" fillId="0" borderId="61" xfId="22" applyNumberFormat="1" applyFont="1" applyBorder="1" applyAlignment="1">
      <alignment horizontal="center" vertical="center" wrapText="1"/>
    </xf>
    <xf numFmtId="9" fontId="33" fillId="0" borderId="59"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9" fontId="33" fillId="0" borderId="64"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0" fontId="12" fillId="0" borderId="56" xfId="22" applyFont="1" applyBorder="1" applyAlignment="1">
      <alignment horizontal="center" vertical="center" wrapText="1"/>
    </xf>
    <xf numFmtId="0" fontId="12" fillId="0" borderId="5" xfId="22" applyFont="1" applyBorder="1" applyAlignment="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37" fillId="0" borderId="42" xfId="0" applyFont="1" applyBorder="1" applyAlignment="1">
      <alignment horizontal="center" vertical="center"/>
    </xf>
    <xf numFmtId="0" fontId="15" fillId="0" borderId="36" xfId="22" applyFont="1" applyBorder="1" applyAlignment="1">
      <alignment horizontal="center" vertical="center" wrapText="1"/>
    </xf>
    <xf numFmtId="0" fontId="15" fillId="0" borderId="37" xfId="22" applyFont="1" applyBorder="1" applyAlignment="1">
      <alignment horizontal="center" vertical="center" wrapText="1"/>
    </xf>
    <xf numFmtId="0" fontId="15" fillId="0" borderId="38" xfId="22" applyFont="1" applyBorder="1" applyAlignment="1">
      <alignment horizontal="center" vertical="center" wrapText="1"/>
    </xf>
    <xf numFmtId="172" fontId="12" fillId="19" borderId="53" xfId="17" applyNumberFormat="1" applyFont="1" applyFill="1" applyBorder="1" applyAlignment="1" applyProtection="1">
      <alignment horizontal="center" vertical="center" wrapText="1"/>
    </xf>
    <xf numFmtId="172" fontId="12" fillId="19" borderId="65" xfId="17" applyNumberFormat="1" applyFont="1" applyFill="1" applyBorder="1" applyAlignment="1" applyProtection="1">
      <alignment horizontal="center" vertical="center" wrapText="1"/>
    </xf>
    <xf numFmtId="172" fontId="12" fillId="19" borderId="49" xfId="17" applyNumberFormat="1" applyFont="1" applyFill="1" applyBorder="1" applyAlignment="1" applyProtection="1">
      <alignment horizontal="center" vertical="center" wrapText="1"/>
    </xf>
    <xf numFmtId="0" fontId="12" fillId="19" borderId="52" xfId="22" applyFont="1" applyFill="1" applyBorder="1" applyAlignment="1">
      <alignment horizontal="center" vertical="center" wrapText="1"/>
    </xf>
    <xf numFmtId="0" fontId="12" fillId="19" borderId="56"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172" fontId="12" fillId="19" borderId="21" xfId="17" applyNumberFormat="1" applyFont="1" applyFill="1" applyBorder="1" applyAlignment="1" applyProtection="1">
      <alignment horizontal="center" vertical="center" wrapText="1"/>
    </xf>
    <xf numFmtId="0" fontId="12" fillId="19" borderId="1" xfId="22" applyFont="1" applyFill="1" applyBorder="1" applyAlignment="1">
      <alignment horizontal="left" vertical="center" wrapText="1"/>
    </xf>
    <xf numFmtId="0" fontId="12" fillId="19" borderId="9" xfId="22" applyFont="1" applyFill="1" applyBorder="1" applyAlignment="1">
      <alignment horizontal="left" vertical="center" wrapText="1"/>
    </xf>
    <xf numFmtId="0" fontId="34" fillId="9" borderId="6" xfId="0" applyFont="1" applyFill="1" applyBorder="1" applyAlignment="1">
      <alignment horizontal="left" vertical="center"/>
    </xf>
    <xf numFmtId="0" fontId="34" fillId="9" borderId="3" xfId="0" applyFont="1" applyFill="1" applyBorder="1" applyAlignment="1">
      <alignment horizontal="left" vertical="center"/>
    </xf>
    <xf numFmtId="0" fontId="34" fillId="9" borderId="25" xfId="0" applyFont="1" applyFill="1" applyBorder="1" applyAlignment="1">
      <alignment horizontal="left" vertical="center"/>
    </xf>
    <xf numFmtId="0" fontId="34" fillId="9" borderId="52" xfId="0" applyFont="1" applyFill="1" applyBorder="1" applyAlignment="1">
      <alignment horizontal="center" vertical="center"/>
    </xf>
    <xf numFmtId="0" fontId="34" fillId="9" borderId="56" xfId="0" applyFont="1" applyFill="1" applyBorder="1" applyAlignment="1">
      <alignment horizontal="center" vertical="center"/>
    </xf>
    <xf numFmtId="0" fontId="34" fillId="9" borderId="5" xfId="0" applyFont="1" applyFill="1" applyBorder="1" applyAlignment="1">
      <alignment horizontal="center" vertical="center"/>
    </xf>
    <xf numFmtId="0" fontId="34" fillId="9" borderId="8" xfId="0" applyFont="1" applyFill="1" applyBorder="1" applyAlignment="1">
      <alignment horizontal="center" vertical="center"/>
    </xf>
    <xf numFmtId="0" fontId="34" fillId="9" borderId="1" xfId="0" applyFont="1" applyFill="1" applyBorder="1" applyAlignment="1">
      <alignment horizontal="center" vertical="center"/>
    </xf>
    <xf numFmtId="14" fontId="40" fillId="0" borderId="1" xfId="0" applyNumberFormat="1" applyFont="1" applyBorder="1" applyAlignment="1">
      <alignment horizontal="center" vertical="center"/>
    </xf>
    <xf numFmtId="0" fontId="40" fillId="0" borderId="1" xfId="0" applyFont="1" applyBorder="1" applyAlignment="1">
      <alignment horizontal="center" vertical="center"/>
    </xf>
    <xf numFmtId="0" fontId="34" fillId="0" borderId="1" xfId="0" applyFont="1" applyBorder="1" applyAlignment="1">
      <alignment horizontal="center" vertical="center" wrapText="1"/>
    </xf>
    <xf numFmtId="0" fontId="12" fillId="19" borderId="19" xfId="22" applyFont="1" applyFill="1" applyBorder="1" applyAlignment="1">
      <alignment horizontal="left" vertical="center" wrapText="1"/>
    </xf>
    <xf numFmtId="0" fontId="12" fillId="19" borderId="33" xfId="22" applyFont="1" applyFill="1" applyBorder="1" applyAlignment="1">
      <alignment horizontal="left" vertical="center" wrapText="1"/>
    </xf>
    <xf numFmtId="0" fontId="34" fillId="9" borderId="52" xfId="0" applyFont="1" applyFill="1" applyBorder="1" applyAlignment="1">
      <alignment horizontal="left" vertical="center"/>
    </xf>
    <xf numFmtId="0" fontId="34" fillId="9" borderId="56" xfId="0" applyFont="1" applyFill="1" applyBorder="1" applyAlignment="1">
      <alignment horizontal="left" vertical="center"/>
    </xf>
    <xf numFmtId="0" fontId="34" fillId="9" borderId="5" xfId="0" applyFont="1" applyFill="1" applyBorder="1" applyAlignment="1">
      <alignment horizontal="left" vertical="center"/>
    </xf>
    <xf numFmtId="0" fontId="32" fillId="0" borderId="2" xfId="0" applyFont="1" applyBorder="1" applyAlignment="1">
      <alignment horizontal="left" vertical="center" wrapText="1"/>
    </xf>
    <xf numFmtId="0" fontId="32" fillId="0" borderId="56" xfId="0" applyFont="1" applyBorder="1" applyAlignment="1">
      <alignment horizontal="left" vertical="center"/>
    </xf>
    <xf numFmtId="0" fontId="32" fillId="0" borderId="22" xfId="0" applyFont="1" applyBorder="1" applyAlignment="1">
      <alignment horizontal="left" vertical="center"/>
    </xf>
    <xf numFmtId="0" fontId="32" fillId="0" borderId="23" xfId="0" applyFont="1" applyBorder="1" applyAlignment="1">
      <alignment horizontal="left" vertical="center"/>
    </xf>
    <xf numFmtId="0" fontId="12" fillId="23" borderId="1" xfId="22" applyFont="1" applyFill="1" applyBorder="1" applyAlignment="1">
      <alignment horizontal="center" vertical="center" wrapText="1"/>
    </xf>
    <xf numFmtId="0" fontId="12" fillId="23" borderId="19" xfId="22" applyFont="1" applyFill="1" applyBorder="1" applyAlignment="1">
      <alignment horizontal="center" vertical="center" wrapText="1"/>
    </xf>
    <xf numFmtId="0" fontId="34" fillId="9" borderId="10" xfId="0" applyFont="1" applyFill="1" applyBorder="1" applyAlignment="1">
      <alignment horizontal="center" vertical="center" wrapText="1"/>
    </xf>
    <xf numFmtId="0" fontId="34" fillId="9" borderId="35" xfId="0" applyFont="1" applyFill="1" applyBorder="1" applyAlignment="1">
      <alignment horizontal="center" vertical="center" wrapText="1"/>
    </xf>
    <xf numFmtId="0" fontId="34" fillId="9" borderId="4" xfId="0" applyFont="1" applyFill="1" applyBorder="1" applyAlignment="1">
      <alignment horizontal="center" vertical="center" wrapText="1"/>
    </xf>
    <xf numFmtId="0" fontId="34" fillId="23" borderId="8" xfId="22" applyFont="1" applyFill="1" applyBorder="1" applyAlignment="1">
      <alignment horizontal="center" vertical="center" wrapText="1"/>
    </xf>
    <xf numFmtId="0" fontId="34" fillId="23" borderId="1" xfId="22" applyFont="1" applyFill="1" applyBorder="1" applyAlignment="1">
      <alignment horizontal="center" vertical="center" wrapText="1"/>
    </xf>
    <xf numFmtId="0" fontId="34" fillId="23" borderId="31" xfId="22" applyFont="1" applyFill="1" applyBorder="1" applyAlignment="1">
      <alignment horizontal="center" vertical="center" wrapText="1"/>
    </xf>
    <xf numFmtId="0" fontId="34" fillId="23" borderId="19" xfId="22" applyFont="1" applyFill="1" applyBorder="1" applyAlignment="1">
      <alignment horizontal="center" vertical="center" wrapText="1"/>
    </xf>
    <xf numFmtId="0" fontId="34" fillId="9" borderId="55" xfId="0" applyFont="1" applyFill="1" applyBorder="1" applyAlignment="1">
      <alignment horizontal="center" vertical="center" wrapText="1"/>
    </xf>
    <xf numFmtId="0" fontId="34" fillId="9" borderId="20" xfId="0" applyFont="1" applyFill="1" applyBorder="1" applyAlignment="1">
      <alignment horizontal="center" vertical="center" wrapText="1"/>
    </xf>
    <xf numFmtId="0" fontId="34" fillId="9" borderId="2" xfId="0" applyFont="1" applyFill="1" applyBorder="1" applyAlignment="1">
      <alignment horizontal="center" vertical="center" wrapText="1"/>
    </xf>
    <xf numFmtId="0" fontId="34" fillId="9" borderId="56" xfId="0" applyFont="1" applyFill="1" applyBorder="1" applyAlignment="1">
      <alignment horizontal="center" vertical="center" wrapText="1"/>
    </xf>
    <xf numFmtId="0" fontId="34" fillId="9" borderId="5" xfId="0" applyFont="1" applyFill="1" applyBorder="1" applyAlignment="1">
      <alignment horizontal="center" vertical="center" wrapText="1"/>
    </xf>
    <xf numFmtId="0" fontId="34" fillId="9" borderId="52" xfId="0" applyFont="1" applyFill="1" applyBorder="1" applyAlignment="1">
      <alignment horizontal="center" vertical="center" wrapText="1"/>
    </xf>
    <xf numFmtId="0" fontId="12" fillId="19" borderId="21" xfId="22" applyFont="1" applyFill="1" applyBorder="1" applyAlignment="1">
      <alignment horizontal="left" vertical="center" wrapText="1"/>
    </xf>
    <xf numFmtId="0" fontId="12" fillId="19" borderId="65" xfId="22" applyFont="1" applyFill="1" applyBorder="1" applyAlignment="1">
      <alignment horizontal="left" vertical="center" wrapText="1"/>
    </xf>
    <xf numFmtId="0" fontId="12" fillId="19" borderId="49" xfId="22" applyFont="1" applyFill="1" applyBorder="1" applyAlignment="1">
      <alignment horizontal="left" vertical="center" wrapText="1"/>
    </xf>
    <xf numFmtId="0" fontId="12" fillId="19" borderId="1" xfId="22" applyFont="1" applyFill="1" applyBorder="1" applyAlignment="1">
      <alignment vertical="center" wrapText="1"/>
    </xf>
    <xf numFmtId="0" fontId="12" fillId="19" borderId="19" xfId="22" applyFont="1" applyFill="1" applyBorder="1" applyAlignment="1">
      <alignment vertical="center" wrapText="1"/>
    </xf>
    <xf numFmtId="0" fontId="12" fillId="19" borderId="2" xfId="22" applyFont="1" applyFill="1" applyBorder="1" applyAlignment="1">
      <alignment horizontal="left" vertical="center" wrapText="1"/>
    </xf>
    <xf numFmtId="0" fontId="12" fillId="19" borderId="56" xfId="22" applyFont="1" applyFill="1" applyBorder="1" applyAlignment="1">
      <alignment horizontal="left" vertical="center" wrapText="1"/>
    </xf>
    <xf numFmtId="0" fontId="12" fillId="19" borderId="5" xfId="22" applyFont="1" applyFill="1" applyBorder="1" applyAlignment="1">
      <alignment horizontal="left" vertical="center" wrapText="1"/>
    </xf>
    <xf numFmtId="0" fontId="32" fillId="0" borderId="52" xfId="0" applyFont="1" applyBorder="1" applyAlignment="1">
      <alignment horizontal="left" vertical="center"/>
    </xf>
    <xf numFmtId="0" fontId="32" fillId="0" borderId="3" xfId="0" applyFont="1" applyBorder="1" applyAlignment="1">
      <alignment horizontal="left" vertical="center"/>
    </xf>
    <xf numFmtId="0" fontId="32" fillId="0" borderId="26" xfId="0" applyFont="1" applyBorder="1" applyAlignment="1">
      <alignment horizontal="left" vertical="center"/>
    </xf>
    <xf numFmtId="0" fontId="34" fillId="0" borderId="52" xfId="0" applyFont="1" applyBorder="1" applyAlignment="1">
      <alignment horizontal="center" vertical="center"/>
    </xf>
    <xf numFmtId="0" fontId="34" fillId="0" borderId="56" xfId="0" applyFont="1" applyBorder="1" applyAlignment="1">
      <alignment horizontal="center" vertical="center"/>
    </xf>
    <xf numFmtId="0" fontId="34" fillId="0" borderId="5" xfId="0" applyFont="1" applyBorder="1" applyAlignment="1">
      <alignment horizontal="center" vertical="center"/>
    </xf>
    <xf numFmtId="0" fontId="34" fillId="0" borderId="30"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0" borderId="6" xfId="0" applyFont="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0" borderId="1" xfId="0" applyFont="1" applyBorder="1" applyAlignment="1">
      <alignment horizontal="left" vertical="center" wrapText="1"/>
    </xf>
    <xf numFmtId="0" fontId="34" fillId="0" borderId="9" xfId="0" applyFont="1" applyBorder="1" applyAlignment="1">
      <alignment horizontal="left" vertical="center" wrapText="1"/>
    </xf>
    <xf numFmtId="0" fontId="34" fillId="0" borderId="50" xfId="0" applyFont="1" applyBorder="1" applyAlignment="1">
      <alignment horizontal="center" vertical="center"/>
    </xf>
    <xf numFmtId="0" fontId="34" fillId="0" borderId="63" xfId="0" applyFont="1" applyBorder="1" applyAlignment="1">
      <alignment horizontal="center" vertical="center"/>
    </xf>
    <xf numFmtId="0" fontId="34" fillId="0" borderId="46" xfId="0" applyFont="1" applyBorder="1" applyAlignment="1">
      <alignment horizontal="center" vertical="center"/>
    </xf>
    <xf numFmtId="0" fontId="34" fillId="9" borderId="83" xfId="0" applyFont="1" applyFill="1" applyBorder="1" applyAlignment="1">
      <alignment horizontal="center" vertical="center" wrapText="1"/>
    </xf>
    <xf numFmtId="0" fontId="34" fillId="9" borderId="84" xfId="0" applyFont="1" applyFill="1" applyBorder="1" applyAlignment="1">
      <alignment horizontal="center" vertical="center" wrapText="1"/>
    </xf>
    <xf numFmtId="0" fontId="34" fillId="9" borderId="34" xfId="0" applyFont="1" applyFill="1" applyBorder="1" applyAlignment="1">
      <alignment horizontal="center" vertical="center" wrapText="1"/>
    </xf>
    <xf numFmtId="0" fontId="34" fillId="9" borderId="55" xfId="0" applyFont="1" applyFill="1" applyBorder="1" applyAlignment="1">
      <alignment horizontal="center" vertical="center"/>
    </xf>
    <xf numFmtId="0" fontId="34" fillId="9" borderId="22"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64" xfId="0" applyFont="1" applyFill="1" applyBorder="1" applyAlignment="1">
      <alignment horizontal="center" vertical="center"/>
    </xf>
    <xf numFmtId="0" fontId="34" fillId="9" borderId="0" xfId="0" applyFont="1" applyFill="1" applyAlignment="1">
      <alignment horizontal="center" vertical="center"/>
    </xf>
    <xf numFmtId="0" fontId="34" fillId="9" borderId="24"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3" xfId="0" applyFont="1" applyFill="1" applyBorder="1" applyAlignment="1">
      <alignment horizontal="center" vertical="center"/>
    </xf>
    <xf numFmtId="0" fontId="34" fillId="9" borderId="25" xfId="0" applyFont="1" applyFill="1" applyBorder="1" applyAlignment="1">
      <alignment horizontal="center" vertical="center"/>
    </xf>
    <xf numFmtId="0" fontId="32" fillId="0" borderId="20" xfId="0" applyFont="1" applyBorder="1" applyAlignment="1">
      <alignment horizontal="left" vertical="center"/>
    </xf>
    <xf numFmtId="0" fontId="13" fillId="0" borderId="56" xfId="0" applyFont="1" applyBorder="1" applyAlignment="1">
      <alignment horizontal="left" vertical="center"/>
    </xf>
    <xf numFmtId="0" fontId="32" fillId="0" borderId="5" xfId="0" applyFont="1" applyBorder="1" applyAlignment="1">
      <alignment horizontal="left" vertical="center"/>
    </xf>
    <xf numFmtId="0" fontId="12" fillId="9" borderId="2" xfId="0" applyFont="1" applyFill="1" applyBorder="1" applyAlignment="1">
      <alignment horizontal="center" vertical="center" wrapText="1"/>
    </xf>
    <xf numFmtId="0" fontId="12" fillId="9" borderId="56"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1" xfId="0" applyFont="1" applyFill="1" applyBorder="1" applyAlignment="1">
      <alignment horizontal="center" vertical="center"/>
    </xf>
    <xf numFmtId="0" fontId="12" fillId="9" borderId="2" xfId="0" applyFont="1" applyFill="1" applyBorder="1" applyAlignment="1">
      <alignment horizontal="left" vertical="center" wrapText="1"/>
    </xf>
    <xf numFmtId="0" fontId="12" fillId="9" borderId="56"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24" borderId="2" xfId="0" applyFont="1" applyFill="1" applyBorder="1" applyAlignment="1">
      <alignment horizontal="left" vertical="center" wrapText="1"/>
    </xf>
    <xf numFmtId="0" fontId="12" fillId="24" borderId="56" xfId="0" applyFont="1" applyFill="1" applyBorder="1" applyAlignment="1">
      <alignment horizontal="left" vertical="center" wrapText="1"/>
    </xf>
    <xf numFmtId="0" fontId="34" fillId="0" borderId="1" xfId="0" applyFont="1" applyBorder="1" applyAlignment="1">
      <alignment horizontal="center" vertical="center"/>
    </xf>
    <xf numFmtId="0" fontId="12" fillId="0" borderId="1" xfId="0" applyFont="1" applyBorder="1" applyAlignment="1">
      <alignment vertical="center" wrapText="1"/>
    </xf>
    <xf numFmtId="0" fontId="34" fillId="0" borderId="55"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left" vertical="center"/>
    </xf>
    <xf numFmtId="0" fontId="24" fillId="27" borderId="36" xfId="0" applyFont="1" applyFill="1" applyBorder="1" applyAlignment="1">
      <alignment horizontal="center" vertical="center"/>
    </xf>
    <xf numFmtId="0" fontId="24" fillId="27" borderId="37" xfId="0" applyFont="1" applyFill="1" applyBorder="1" applyAlignment="1">
      <alignment horizontal="center" vertical="center"/>
    </xf>
    <xf numFmtId="0" fontId="24" fillId="27" borderId="38" xfId="0" applyFont="1" applyFill="1" applyBorder="1" applyAlignment="1">
      <alignment horizontal="center" vertical="center"/>
    </xf>
    <xf numFmtId="0" fontId="79" fillId="26" borderId="8" xfId="0" applyFont="1" applyFill="1" applyBorder="1" applyAlignment="1">
      <alignment horizontal="right" vertical="center"/>
    </xf>
    <xf numFmtId="0" fontId="79" fillId="26" borderId="1" xfId="0" applyFont="1" applyFill="1" applyBorder="1" applyAlignment="1">
      <alignment horizontal="right" vertical="center"/>
    </xf>
    <xf numFmtId="0" fontId="31" fillId="26" borderId="8" xfId="0" applyFont="1" applyFill="1" applyBorder="1" applyAlignment="1">
      <alignment horizontal="left" vertical="center"/>
    </xf>
    <xf numFmtId="0" fontId="31" fillId="26" borderId="1" xfId="0" applyFont="1" applyFill="1" applyBorder="1" applyAlignment="1">
      <alignment horizontal="left" vertical="center"/>
    </xf>
    <xf numFmtId="0" fontId="31" fillId="26" borderId="31" xfId="0" applyFont="1" applyFill="1" applyBorder="1" applyAlignment="1">
      <alignment horizontal="left" vertical="center"/>
    </xf>
    <xf numFmtId="0" fontId="31" fillId="26" borderId="19" xfId="0" applyFont="1" applyFill="1" applyBorder="1" applyAlignment="1">
      <alignment horizontal="left" vertic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5" xfId="0" applyFont="1" applyBorder="1" applyAlignment="1">
      <alignment horizontal="left" vertical="center" wrapText="1"/>
    </xf>
    <xf numFmtId="0" fontId="32" fillId="0" borderId="4" xfId="0" applyFont="1" applyBorder="1" applyAlignment="1">
      <alignment horizontal="left" vertical="center" wrapText="1"/>
    </xf>
    <xf numFmtId="41" fontId="32" fillId="0" borderId="55" xfId="12" applyFont="1" applyFill="1" applyBorder="1" applyAlignment="1">
      <alignment horizontal="left" vertical="center"/>
    </xf>
    <xf numFmtId="41" fontId="32" fillId="0" borderId="64" xfId="12" applyFont="1" applyFill="1" applyBorder="1" applyAlignment="1">
      <alignment horizontal="left" vertical="center"/>
    </xf>
    <xf numFmtId="41" fontId="32" fillId="0" borderId="20" xfId="12" applyFont="1" applyFill="1" applyBorder="1" applyAlignment="1">
      <alignment horizontal="left" vertical="center"/>
    </xf>
    <xf numFmtId="0" fontId="80" fillId="40" borderId="27" xfId="0" applyFont="1" applyFill="1" applyBorder="1" applyAlignment="1">
      <alignment horizontal="center" vertical="center" wrapText="1"/>
    </xf>
    <xf numFmtId="0" fontId="80" fillId="40" borderId="28" xfId="0" applyFont="1" applyFill="1" applyBorder="1" applyAlignment="1">
      <alignment horizontal="center" vertical="center" wrapText="1"/>
    </xf>
    <xf numFmtId="0" fontId="80" fillId="40" borderId="29" xfId="0" applyFont="1" applyFill="1" applyBorder="1" applyAlignment="1">
      <alignment horizontal="center" vertical="center" wrapText="1"/>
    </xf>
    <xf numFmtId="172" fontId="80" fillId="40" borderId="24" xfId="0" applyNumberFormat="1" applyFont="1" applyFill="1" applyBorder="1" applyAlignment="1">
      <alignment horizontal="center" vertical="center"/>
    </xf>
    <xf numFmtId="172" fontId="80" fillId="40" borderId="35" xfId="0" applyNumberFormat="1" applyFont="1" applyFill="1" applyBorder="1" applyAlignment="1">
      <alignment horizontal="center" vertical="center"/>
    </xf>
    <xf numFmtId="172" fontId="80" fillId="40" borderId="84" xfId="0" applyNumberFormat="1" applyFont="1" applyFill="1" applyBorder="1" applyAlignment="1">
      <alignment horizontal="center" vertical="center"/>
    </xf>
    <xf numFmtId="0" fontId="80" fillId="40" borderId="43" xfId="0" applyFont="1" applyFill="1" applyBorder="1" applyAlignment="1">
      <alignment horizontal="center" vertical="center" wrapText="1"/>
    </xf>
    <xf numFmtId="0" fontId="80" fillId="40" borderId="45" xfId="0" applyFont="1" applyFill="1" applyBorder="1" applyAlignment="1">
      <alignment horizontal="center" vertical="center" wrapText="1"/>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xf numFmtId="176" fontId="0" fillId="0" borderId="0" xfId="14" applyNumberFormat="1" applyFont="1" applyBorder="1" applyAlignment="1">
      <alignment vertical="center"/>
    </xf>
  </cellXfs>
  <cellStyles count="36">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Currency" xfId="35" xr:uid="{C1E79A70-DD45-4429-938C-87D5017683A7}"/>
    <cellStyle name="Encabezado 1 2" xfId="5" xr:uid="{00000000-0005-0000-0000-000008000000}"/>
    <cellStyle name="Encabezado 2" xfId="6" xr:uid="{00000000-0005-0000-0000-000009000000}"/>
    <cellStyle name="Énfasis1" xfId="34" builtinId="29"/>
    <cellStyle name="Énfasis6 2" xfId="7" xr:uid="{00000000-0005-0000-0000-00000A000000}"/>
    <cellStyle name="Fecha" xfId="8" xr:uid="{00000000-0005-0000-0000-00000B000000}"/>
    <cellStyle name="HeaderStyle" xfId="9" xr:uid="{00000000-0005-0000-0000-00000C000000}"/>
    <cellStyle name="Millares" xfId="10" builtinId="3"/>
    <cellStyle name="Millares [0]" xfId="11" builtinId="6"/>
    <cellStyle name="Millares [0] 2" xfId="12" xr:uid="{00000000-0005-0000-0000-00000D000000}"/>
    <cellStyle name="Millares 2" xfId="13" xr:uid="{00000000-0005-0000-0000-00000E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1">
    <dxf>
      <font>
        <color rgb="FF9C0006"/>
      </font>
      <fill>
        <patternFill>
          <bgColor rgb="FFFFC7CE"/>
        </patternFill>
      </fill>
    </dxf>
  </dxfs>
  <tableStyles count="0" defaultTableStyle="TableStyleMedium9"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1847850</xdr:colOff>
      <xdr:row>3</xdr:row>
      <xdr:rowOff>142875</xdr:rowOff>
    </xdr:to>
    <xdr:pic>
      <xdr:nvPicPr>
        <xdr:cNvPr id="2" name="Picture 47">
          <a:extLst>
            <a:ext uri="{FF2B5EF4-FFF2-40B4-BE49-F238E27FC236}">
              <a16:creationId xmlns:a16="http://schemas.microsoft.com/office/drawing/2014/main" id="{805626A6-E013-470F-A91F-279D845D40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811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955" name="Picture 47">
          <a:extLst>
            <a:ext uri="{FF2B5EF4-FFF2-40B4-BE49-F238E27FC236}">
              <a16:creationId xmlns:a16="http://schemas.microsoft.com/office/drawing/2014/main" id="{A09F614F-9A4B-479B-A0B5-FE3DA7E777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979" name="Picture 47">
          <a:extLst>
            <a:ext uri="{FF2B5EF4-FFF2-40B4-BE49-F238E27FC236}">
              <a16:creationId xmlns:a16="http://schemas.microsoft.com/office/drawing/2014/main" id="{F5567784-B0BA-4509-88B6-001240FAB1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090" name="Picture 47">
          <a:extLst>
            <a:ext uri="{FF2B5EF4-FFF2-40B4-BE49-F238E27FC236}">
              <a16:creationId xmlns:a16="http://schemas.microsoft.com/office/drawing/2014/main" id="{6E461376-1A6B-464A-8665-E21F053A47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626" name="Picture 47">
          <a:extLst>
            <a:ext uri="{FF2B5EF4-FFF2-40B4-BE49-F238E27FC236}">
              <a16:creationId xmlns:a16="http://schemas.microsoft.com/office/drawing/2014/main" id="{D89C69B5-1E01-468D-92B1-227E2DAC9A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9D9D3-10DE-4423-9D0A-BAAFFB298A60}">
  <sheetPr>
    <tabColor theme="7" tint="0.39997558519241921"/>
    <pageSetUpPr fitToPage="1"/>
  </sheetPr>
  <dimension ref="A1:AO51"/>
  <sheetViews>
    <sheetView showGridLines="0" view="pageBreakPreview" topLeftCell="M16" zoomScale="60" zoomScaleNormal="75" workbookViewId="0">
      <selection activeCell="O24" sqref="O24"/>
    </sheetView>
  </sheetViews>
  <sheetFormatPr baseColWidth="10" defaultColWidth="10.85546875" defaultRowHeight="15"/>
  <cols>
    <col min="1" max="1" width="42" style="50" customWidth="1"/>
    <col min="2" max="2" width="21.7109375" style="50" customWidth="1"/>
    <col min="3" max="3" width="20.7109375" style="50" customWidth="1"/>
    <col min="4" max="6" width="15" style="50" bestFit="1" customWidth="1"/>
    <col min="7" max="14" width="14.140625" style="50" customWidth="1"/>
    <col min="15" max="15" width="15.8554687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160" customWidth="1"/>
    <col min="33" max="33" width="22.28515625" style="50"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256" width="10.85546875" style="50"/>
    <col min="257" max="257" width="42" style="50" customWidth="1"/>
    <col min="258" max="258" width="21.7109375" style="50" customWidth="1"/>
    <col min="259" max="270" width="20.7109375" style="50" customWidth="1"/>
    <col min="271" max="271" width="16.140625" style="50" customWidth="1"/>
    <col min="272" max="283" width="18.140625" style="50" customWidth="1"/>
    <col min="284" max="284" width="22.7109375" style="50" customWidth="1"/>
    <col min="285" max="285" width="19" style="50" customWidth="1"/>
    <col min="286" max="286" width="19.42578125" style="50" customWidth="1"/>
    <col min="287" max="287" width="6.28515625" style="50" bestFit="1" customWidth="1"/>
    <col min="288" max="288" width="22.85546875" style="50" customWidth="1"/>
    <col min="289" max="289" width="18.42578125" style="50" bestFit="1" customWidth="1"/>
    <col min="290" max="290" width="8.42578125" style="50" customWidth="1"/>
    <col min="291" max="291" width="18.42578125" style="50" bestFit="1" customWidth="1"/>
    <col min="292" max="292" width="5.7109375" style="50" customWidth="1"/>
    <col min="293" max="293" width="18.42578125" style="50" bestFit="1" customWidth="1"/>
    <col min="294" max="294" width="4.7109375" style="50" customWidth="1"/>
    <col min="295" max="295" width="23" style="50" bestFit="1" customWidth="1"/>
    <col min="296" max="296" width="10.85546875" style="50"/>
    <col min="297" max="297" width="18.42578125" style="50" bestFit="1" customWidth="1"/>
    <col min="298" max="298" width="16.140625" style="50" customWidth="1"/>
    <col min="299" max="512" width="10.85546875" style="50"/>
    <col min="513" max="513" width="42" style="50" customWidth="1"/>
    <col min="514" max="514" width="21.7109375" style="50" customWidth="1"/>
    <col min="515" max="526" width="20.7109375" style="50" customWidth="1"/>
    <col min="527" max="527" width="16.140625" style="50" customWidth="1"/>
    <col min="528" max="539" width="18.140625" style="50" customWidth="1"/>
    <col min="540" max="540" width="22.7109375" style="50" customWidth="1"/>
    <col min="541" max="541" width="19" style="50" customWidth="1"/>
    <col min="542" max="542" width="19.42578125" style="50" customWidth="1"/>
    <col min="543" max="543" width="6.28515625" style="50" bestFit="1" customWidth="1"/>
    <col min="544" max="544" width="22.85546875" style="50" customWidth="1"/>
    <col min="545" max="545" width="18.42578125" style="50" bestFit="1" customWidth="1"/>
    <col min="546" max="546" width="8.42578125" style="50" customWidth="1"/>
    <col min="547" max="547" width="18.42578125" style="50" bestFit="1" customWidth="1"/>
    <col min="548" max="548" width="5.7109375" style="50" customWidth="1"/>
    <col min="549" max="549" width="18.42578125" style="50" bestFit="1" customWidth="1"/>
    <col min="550" max="550" width="4.7109375" style="50" customWidth="1"/>
    <col min="551" max="551" width="23" style="50" bestFit="1" customWidth="1"/>
    <col min="552" max="552" width="10.85546875" style="50"/>
    <col min="553" max="553" width="18.42578125" style="50" bestFit="1" customWidth="1"/>
    <col min="554" max="554" width="16.140625" style="50" customWidth="1"/>
    <col min="555" max="768" width="10.85546875" style="50"/>
    <col min="769" max="769" width="42" style="50" customWidth="1"/>
    <col min="770" max="770" width="21.7109375" style="50" customWidth="1"/>
    <col min="771" max="782" width="20.7109375" style="50" customWidth="1"/>
    <col min="783" max="783" width="16.140625" style="50" customWidth="1"/>
    <col min="784" max="795" width="18.140625" style="50" customWidth="1"/>
    <col min="796" max="796" width="22.7109375" style="50" customWidth="1"/>
    <col min="797" max="797" width="19" style="50" customWidth="1"/>
    <col min="798" max="798" width="19.42578125" style="50" customWidth="1"/>
    <col min="799" max="799" width="6.28515625" style="50" bestFit="1" customWidth="1"/>
    <col min="800" max="800" width="22.85546875" style="50" customWidth="1"/>
    <col min="801" max="801" width="18.42578125" style="50" bestFit="1" customWidth="1"/>
    <col min="802" max="802" width="8.42578125" style="50" customWidth="1"/>
    <col min="803" max="803" width="18.42578125" style="50" bestFit="1" customWidth="1"/>
    <col min="804" max="804" width="5.7109375" style="50" customWidth="1"/>
    <col min="805" max="805" width="18.42578125" style="50" bestFit="1" customWidth="1"/>
    <col min="806" max="806" width="4.7109375" style="50" customWidth="1"/>
    <col min="807" max="807" width="23" style="50" bestFit="1" customWidth="1"/>
    <col min="808" max="808" width="10.85546875" style="50"/>
    <col min="809" max="809" width="18.42578125" style="50" bestFit="1" customWidth="1"/>
    <col min="810" max="810" width="16.140625" style="50" customWidth="1"/>
    <col min="811" max="1024" width="10.85546875" style="50"/>
    <col min="1025" max="1025" width="42" style="50" customWidth="1"/>
    <col min="1026" max="1026" width="21.7109375" style="50" customWidth="1"/>
    <col min="1027" max="1038" width="20.7109375" style="50" customWidth="1"/>
    <col min="1039" max="1039" width="16.140625" style="50" customWidth="1"/>
    <col min="1040" max="1051" width="18.140625" style="50" customWidth="1"/>
    <col min="1052" max="1052" width="22.7109375" style="50" customWidth="1"/>
    <col min="1053" max="1053" width="19" style="50" customWidth="1"/>
    <col min="1054" max="1054" width="19.42578125" style="50" customWidth="1"/>
    <col min="1055" max="1055" width="6.28515625" style="50" bestFit="1" customWidth="1"/>
    <col min="1056" max="1056" width="22.85546875" style="50" customWidth="1"/>
    <col min="1057" max="1057" width="18.42578125" style="50" bestFit="1" customWidth="1"/>
    <col min="1058" max="1058" width="8.42578125" style="50" customWidth="1"/>
    <col min="1059" max="1059" width="18.42578125" style="50" bestFit="1" customWidth="1"/>
    <col min="1060" max="1060" width="5.7109375" style="50" customWidth="1"/>
    <col min="1061" max="1061" width="18.42578125" style="50" bestFit="1" customWidth="1"/>
    <col min="1062" max="1062" width="4.7109375" style="50" customWidth="1"/>
    <col min="1063" max="1063" width="23" style="50" bestFit="1" customWidth="1"/>
    <col min="1064" max="1064" width="10.85546875" style="50"/>
    <col min="1065" max="1065" width="18.42578125" style="50" bestFit="1" customWidth="1"/>
    <col min="1066" max="1066" width="16.140625" style="50" customWidth="1"/>
    <col min="1067" max="1280" width="10.85546875" style="50"/>
    <col min="1281" max="1281" width="42" style="50" customWidth="1"/>
    <col min="1282" max="1282" width="21.7109375" style="50" customWidth="1"/>
    <col min="1283" max="1294" width="20.7109375" style="50" customWidth="1"/>
    <col min="1295" max="1295" width="16.140625" style="50" customWidth="1"/>
    <col min="1296" max="1307" width="18.140625" style="50" customWidth="1"/>
    <col min="1308" max="1308" width="22.7109375" style="50" customWidth="1"/>
    <col min="1309" max="1309" width="19" style="50" customWidth="1"/>
    <col min="1310" max="1310" width="19.42578125" style="50" customWidth="1"/>
    <col min="1311" max="1311" width="6.28515625" style="50" bestFit="1" customWidth="1"/>
    <col min="1312" max="1312" width="22.85546875" style="50" customWidth="1"/>
    <col min="1313" max="1313" width="18.42578125" style="50" bestFit="1" customWidth="1"/>
    <col min="1314" max="1314" width="8.42578125" style="50" customWidth="1"/>
    <col min="1315" max="1315" width="18.42578125" style="50" bestFit="1" customWidth="1"/>
    <col min="1316" max="1316" width="5.7109375" style="50" customWidth="1"/>
    <col min="1317" max="1317" width="18.42578125" style="50" bestFit="1" customWidth="1"/>
    <col min="1318" max="1318" width="4.7109375" style="50" customWidth="1"/>
    <col min="1319" max="1319" width="23" style="50" bestFit="1" customWidth="1"/>
    <col min="1320" max="1320" width="10.85546875" style="50"/>
    <col min="1321" max="1321" width="18.42578125" style="50" bestFit="1" customWidth="1"/>
    <col min="1322" max="1322" width="16.140625" style="50" customWidth="1"/>
    <col min="1323" max="1536" width="10.85546875" style="50"/>
    <col min="1537" max="1537" width="42" style="50" customWidth="1"/>
    <col min="1538" max="1538" width="21.7109375" style="50" customWidth="1"/>
    <col min="1539" max="1550" width="20.7109375" style="50" customWidth="1"/>
    <col min="1551" max="1551" width="16.140625" style="50" customWidth="1"/>
    <col min="1552" max="1563" width="18.140625" style="50" customWidth="1"/>
    <col min="1564" max="1564" width="22.7109375" style="50" customWidth="1"/>
    <col min="1565" max="1565" width="19" style="50" customWidth="1"/>
    <col min="1566" max="1566" width="19.42578125" style="50" customWidth="1"/>
    <col min="1567" max="1567" width="6.28515625" style="50" bestFit="1" customWidth="1"/>
    <col min="1568" max="1568" width="22.85546875" style="50" customWidth="1"/>
    <col min="1569" max="1569" width="18.42578125" style="50" bestFit="1" customWidth="1"/>
    <col min="1570" max="1570" width="8.42578125" style="50" customWidth="1"/>
    <col min="1571" max="1571" width="18.42578125" style="50" bestFit="1" customWidth="1"/>
    <col min="1572" max="1572" width="5.7109375" style="50" customWidth="1"/>
    <col min="1573" max="1573" width="18.42578125" style="50" bestFit="1" customWidth="1"/>
    <col min="1574" max="1574" width="4.7109375" style="50" customWidth="1"/>
    <col min="1575" max="1575" width="23" style="50" bestFit="1" customWidth="1"/>
    <col min="1576" max="1576" width="10.85546875" style="50"/>
    <col min="1577" max="1577" width="18.42578125" style="50" bestFit="1" customWidth="1"/>
    <col min="1578" max="1578" width="16.140625" style="50" customWidth="1"/>
    <col min="1579" max="1792" width="10.85546875" style="50"/>
    <col min="1793" max="1793" width="42" style="50" customWidth="1"/>
    <col min="1794" max="1794" width="21.7109375" style="50" customWidth="1"/>
    <col min="1795" max="1806" width="20.7109375" style="50" customWidth="1"/>
    <col min="1807" max="1807" width="16.140625" style="50" customWidth="1"/>
    <col min="1808" max="1819" width="18.140625" style="50" customWidth="1"/>
    <col min="1820" max="1820" width="22.7109375" style="50" customWidth="1"/>
    <col min="1821" max="1821" width="19" style="50" customWidth="1"/>
    <col min="1822" max="1822" width="19.42578125" style="50" customWidth="1"/>
    <col min="1823" max="1823" width="6.28515625" style="50" bestFit="1" customWidth="1"/>
    <col min="1824" max="1824" width="22.85546875" style="50" customWidth="1"/>
    <col min="1825" max="1825" width="18.42578125" style="50" bestFit="1" customWidth="1"/>
    <col min="1826" max="1826" width="8.42578125" style="50" customWidth="1"/>
    <col min="1827" max="1827" width="18.42578125" style="50" bestFit="1" customWidth="1"/>
    <col min="1828" max="1828" width="5.7109375" style="50" customWidth="1"/>
    <col min="1829" max="1829" width="18.42578125" style="50" bestFit="1" customWidth="1"/>
    <col min="1830" max="1830" width="4.7109375" style="50" customWidth="1"/>
    <col min="1831" max="1831" width="23" style="50" bestFit="1" customWidth="1"/>
    <col min="1832" max="1832" width="10.85546875" style="50"/>
    <col min="1833" max="1833" width="18.42578125" style="50" bestFit="1" customWidth="1"/>
    <col min="1834" max="1834" width="16.140625" style="50" customWidth="1"/>
    <col min="1835" max="2048" width="10.85546875" style="50"/>
    <col min="2049" max="2049" width="42" style="50" customWidth="1"/>
    <col min="2050" max="2050" width="21.7109375" style="50" customWidth="1"/>
    <col min="2051" max="2062" width="20.7109375" style="50" customWidth="1"/>
    <col min="2063" max="2063" width="16.140625" style="50" customWidth="1"/>
    <col min="2064" max="2075" width="18.140625" style="50" customWidth="1"/>
    <col min="2076" max="2076" width="22.7109375" style="50" customWidth="1"/>
    <col min="2077" max="2077" width="19" style="50" customWidth="1"/>
    <col min="2078" max="2078" width="19.42578125" style="50" customWidth="1"/>
    <col min="2079" max="2079" width="6.28515625" style="50" bestFit="1" customWidth="1"/>
    <col min="2080" max="2080" width="22.85546875" style="50" customWidth="1"/>
    <col min="2081" max="2081" width="18.42578125" style="50" bestFit="1" customWidth="1"/>
    <col min="2082" max="2082" width="8.42578125" style="50" customWidth="1"/>
    <col min="2083" max="2083" width="18.42578125" style="50" bestFit="1" customWidth="1"/>
    <col min="2084" max="2084" width="5.7109375" style="50" customWidth="1"/>
    <col min="2085" max="2085" width="18.42578125" style="50" bestFit="1" customWidth="1"/>
    <col min="2086" max="2086" width="4.7109375" style="50" customWidth="1"/>
    <col min="2087" max="2087" width="23" style="50" bestFit="1" customWidth="1"/>
    <col min="2088" max="2088" width="10.85546875" style="50"/>
    <col min="2089" max="2089" width="18.42578125" style="50" bestFit="1" customWidth="1"/>
    <col min="2090" max="2090" width="16.140625" style="50" customWidth="1"/>
    <col min="2091" max="2304" width="10.85546875" style="50"/>
    <col min="2305" max="2305" width="42" style="50" customWidth="1"/>
    <col min="2306" max="2306" width="21.7109375" style="50" customWidth="1"/>
    <col min="2307" max="2318" width="20.7109375" style="50" customWidth="1"/>
    <col min="2319" max="2319" width="16.140625" style="50" customWidth="1"/>
    <col min="2320" max="2331" width="18.140625" style="50" customWidth="1"/>
    <col min="2332" max="2332" width="22.7109375" style="50" customWidth="1"/>
    <col min="2333" max="2333" width="19" style="50" customWidth="1"/>
    <col min="2334" max="2334" width="19.42578125" style="50" customWidth="1"/>
    <col min="2335" max="2335" width="6.28515625" style="50" bestFit="1" customWidth="1"/>
    <col min="2336" max="2336" width="22.85546875" style="50" customWidth="1"/>
    <col min="2337" max="2337" width="18.42578125" style="50" bestFit="1" customWidth="1"/>
    <col min="2338" max="2338" width="8.42578125" style="50" customWidth="1"/>
    <col min="2339" max="2339" width="18.42578125" style="50" bestFit="1" customWidth="1"/>
    <col min="2340" max="2340" width="5.7109375" style="50" customWidth="1"/>
    <col min="2341" max="2341" width="18.42578125" style="50" bestFit="1" customWidth="1"/>
    <col min="2342" max="2342" width="4.7109375" style="50" customWidth="1"/>
    <col min="2343" max="2343" width="23" style="50" bestFit="1" customWidth="1"/>
    <col min="2344" max="2344" width="10.85546875" style="50"/>
    <col min="2345" max="2345" width="18.42578125" style="50" bestFit="1" customWidth="1"/>
    <col min="2346" max="2346" width="16.140625" style="50" customWidth="1"/>
    <col min="2347" max="2560" width="10.85546875" style="50"/>
    <col min="2561" max="2561" width="42" style="50" customWidth="1"/>
    <col min="2562" max="2562" width="21.7109375" style="50" customWidth="1"/>
    <col min="2563" max="2574" width="20.7109375" style="50" customWidth="1"/>
    <col min="2575" max="2575" width="16.140625" style="50" customWidth="1"/>
    <col min="2576" max="2587" width="18.140625" style="50" customWidth="1"/>
    <col min="2588" max="2588" width="22.7109375" style="50" customWidth="1"/>
    <col min="2589" max="2589" width="19" style="50" customWidth="1"/>
    <col min="2590" max="2590" width="19.42578125" style="50" customWidth="1"/>
    <col min="2591" max="2591" width="6.28515625" style="50" bestFit="1" customWidth="1"/>
    <col min="2592" max="2592" width="22.85546875" style="50" customWidth="1"/>
    <col min="2593" max="2593" width="18.42578125" style="50" bestFit="1" customWidth="1"/>
    <col min="2594" max="2594" width="8.42578125" style="50" customWidth="1"/>
    <col min="2595" max="2595" width="18.42578125" style="50" bestFit="1" customWidth="1"/>
    <col min="2596" max="2596" width="5.7109375" style="50" customWidth="1"/>
    <col min="2597" max="2597" width="18.42578125" style="50" bestFit="1" customWidth="1"/>
    <col min="2598" max="2598" width="4.7109375" style="50" customWidth="1"/>
    <col min="2599" max="2599" width="23" style="50" bestFit="1" customWidth="1"/>
    <col min="2600" max="2600" width="10.85546875" style="50"/>
    <col min="2601" max="2601" width="18.42578125" style="50" bestFit="1" customWidth="1"/>
    <col min="2602" max="2602" width="16.140625" style="50" customWidth="1"/>
    <col min="2603" max="2816" width="10.85546875" style="50"/>
    <col min="2817" max="2817" width="42" style="50" customWidth="1"/>
    <col min="2818" max="2818" width="21.7109375" style="50" customWidth="1"/>
    <col min="2819" max="2830" width="20.7109375" style="50" customWidth="1"/>
    <col min="2831" max="2831" width="16.140625" style="50" customWidth="1"/>
    <col min="2832" max="2843" width="18.140625" style="50" customWidth="1"/>
    <col min="2844" max="2844" width="22.7109375" style="50" customWidth="1"/>
    <col min="2845" max="2845" width="19" style="50" customWidth="1"/>
    <col min="2846" max="2846" width="19.42578125" style="50" customWidth="1"/>
    <col min="2847" max="2847" width="6.28515625" style="50" bestFit="1" customWidth="1"/>
    <col min="2848" max="2848" width="22.85546875" style="50" customWidth="1"/>
    <col min="2849" max="2849" width="18.42578125" style="50" bestFit="1" customWidth="1"/>
    <col min="2850" max="2850" width="8.42578125" style="50" customWidth="1"/>
    <col min="2851" max="2851" width="18.42578125" style="50" bestFit="1" customWidth="1"/>
    <col min="2852" max="2852" width="5.7109375" style="50" customWidth="1"/>
    <col min="2853" max="2853" width="18.42578125" style="50" bestFit="1" customWidth="1"/>
    <col min="2854" max="2854" width="4.7109375" style="50" customWidth="1"/>
    <col min="2855" max="2855" width="23" style="50" bestFit="1" customWidth="1"/>
    <col min="2856" max="2856" width="10.85546875" style="50"/>
    <col min="2857" max="2857" width="18.42578125" style="50" bestFit="1" customWidth="1"/>
    <col min="2858" max="2858" width="16.140625" style="50" customWidth="1"/>
    <col min="2859" max="3072" width="10.85546875" style="50"/>
    <col min="3073" max="3073" width="42" style="50" customWidth="1"/>
    <col min="3074" max="3074" width="21.7109375" style="50" customWidth="1"/>
    <col min="3075" max="3086" width="20.7109375" style="50" customWidth="1"/>
    <col min="3087" max="3087" width="16.140625" style="50" customWidth="1"/>
    <col min="3088" max="3099" width="18.140625" style="50" customWidth="1"/>
    <col min="3100" max="3100" width="22.7109375" style="50" customWidth="1"/>
    <col min="3101" max="3101" width="19" style="50" customWidth="1"/>
    <col min="3102" max="3102" width="19.42578125" style="50" customWidth="1"/>
    <col min="3103" max="3103" width="6.28515625" style="50" bestFit="1" customWidth="1"/>
    <col min="3104" max="3104" width="22.85546875" style="50" customWidth="1"/>
    <col min="3105" max="3105" width="18.42578125" style="50" bestFit="1" customWidth="1"/>
    <col min="3106" max="3106" width="8.42578125" style="50" customWidth="1"/>
    <col min="3107" max="3107" width="18.42578125" style="50" bestFit="1" customWidth="1"/>
    <col min="3108" max="3108" width="5.7109375" style="50" customWidth="1"/>
    <col min="3109" max="3109" width="18.42578125" style="50" bestFit="1" customWidth="1"/>
    <col min="3110" max="3110" width="4.7109375" style="50" customWidth="1"/>
    <col min="3111" max="3111" width="23" style="50" bestFit="1" customWidth="1"/>
    <col min="3112" max="3112" width="10.85546875" style="50"/>
    <col min="3113" max="3113" width="18.42578125" style="50" bestFit="1" customWidth="1"/>
    <col min="3114" max="3114" width="16.140625" style="50" customWidth="1"/>
    <col min="3115" max="3328" width="10.85546875" style="50"/>
    <col min="3329" max="3329" width="42" style="50" customWidth="1"/>
    <col min="3330" max="3330" width="21.7109375" style="50" customWidth="1"/>
    <col min="3331" max="3342" width="20.7109375" style="50" customWidth="1"/>
    <col min="3343" max="3343" width="16.140625" style="50" customWidth="1"/>
    <col min="3344" max="3355" width="18.140625" style="50" customWidth="1"/>
    <col min="3356" max="3356" width="22.7109375" style="50" customWidth="1"/>
    <col min="3357" max="3357" width="19" style="50" customWidth="1"/>
    <col min="3358" max="3358" width="19.42578125" style="50" customWidth="1"/>
    <col min="3359" max="3359" width="6.28515625" style="50" bestFit="1" customWidth="1"/>
    <col min="3360" max="3360" width="22.85546875" style="50" customWidth="1"/>
    <col min="3361" max="3361" width="18.42578125" style="50" bestFit="1" customWidth="1"/>
    <col min="3362" max="3362" width="8.42578125" style="50" customWidth="1"/>
    <col min="3363" max="3363" width="18.42578125" style="50" bestFit="1" customWidth="1"/>
    <col min="3364" max="3364" width="5.7109375" style="50" customWidth="1"/>
    <col min="3365" max="3365" width="18.42578125" style="50" bestFit="1" customWidth="1"/>
    <col min="3366" max="3366" width="4.7109375" style="50" customWidth="1"/>
    <col min="3367" max="3367" width="23" style="50" bestFit="1" customWidth="1"/>
    <col min="3368" max="3368" width="10.85546875" style="50"/>
    <col min="3369" max="3369" width="18.42578125" style="50" bestFit="1" customWidth="1"/>
    <col min="3370" max="3370" width="16.140625" style="50" customWidth="1"/>
    <col min="3371" max="3584" width="10.85546875" style="50"/>
    <col min="3585" max="3585" width="42" style="50" customWidth="1"/>
    <col min="3586" max="3586" width="21.7109375" style="50" customWidth="1"/>
    <col min="3587" max="3598" width="20.7109375" style="50" customWidth="1"/>
    <col min="3599" max="3599" width="16.140625" style="50" customWidth="1"/>
    <col min="3600" max="3611" width="18.140625" style="50" customWidth="1"/>
    <col min="3612" max="3612" width="22.7109375" style="50" customWidth="1"/>
    <col min="3613" max="3613" width="19" style="50" customWidth="1"/>
    <col min="3614" max="3614" width="19.42578125" style="50" customWidth="1"/>
    <col min="3615" max="3615" width="6.28515625" style="50" bestFit="1" customWidth="1"/>
    <col min="3616" max="3616" width="22.85546875" style="50" customWidth="1"/>
    <col min="3617" max="3617" width="18.42578125" style="50" bestFit="1" customWidth="1"/>
    <col min="3618" max="3618" width="8.42578125" style="50" customWidth="1"/>
    <col min="3619" max="3619" width="18.42578125" style="50" bestFit="1" customWidth="1"/>
    <col min="3620" max="3620" width="5.7109375" style="50" customWidth="1"/>
    <col min="3621" max="3621" width="18.42578125" style="50" bestFit="1" customWidth="1"/>
    <col min="3622" max="3622" width="4.7109375" style="50" customWidth="1"/>
    <col min="3623" max="3623" width="23" style="50" bestFit="1" customWidth="1"/>
    <col min="3624" max="3624" width="10.85546875" style="50"/>
    <col min="3625" max="3625" width="18.42578125" style="50" bestFit="1" customWidth="1"/>
    <col min="3626" max="3626" width="16.140625" style="50" customWidth="1"/>
    <col min="3627" max="3840" width="10.85546875" style="50"/>
    <col min="3841" max="3841" width="42" style="50" customWidth="1"/>
    <col min="3842" max="3842" width="21.7109375" style="50" customWidth="1"/>
    <col min="3843" max="3854" width="20.7109375" style="50" customWidth="1"/>
    <col min="3855" max="3855" width="16.140625" style="50" customWidth="1"/>
    <col min="3856" max="3867" width="18.140625" style="50" customWidth="1"/>
    <col min="3868" max="3868" width="22.7109375" style="50" customWidth="1"/>
    <col min="3869" max="3869" width="19" style="50" customWidth="1"/>
    <col min="3870" max="3870" width="19.42578125" style="50" customWidth="1"/>
    <col min="3871" max="3871" width="6.28515625" style="50" bestFit="1" customWidth="1"/>
    <col min="3872" max="3872" width="22.85546875" style="50" customWidth="1"/>
    <col min="3873" max="3873" width="18.42578125" style="50" bestFit="1" customWidth="1"/>
    <col min="3874" max="3874" width="8.42578125" style="50" customWidth="1"/>
    <col min="3875" max="3875" width="18.42578125" style="50" bestFit="1" customWidth="1"/>
    <col min="3876" max="3876" width="5.7109375" style="50" customWidth="1"/>
    <col min="3877" max="3877" width="18.42578125" style="50" bestFit="1" customWidth="1"/>
    <col min="3878" max="3878" width="4.7109375" style="50" customWidth="1"/>
    <col min="3879" max="3879" width="23" style="50" bestFit="1" customWidth="1"/>
    <col min="3880" max="3880" width="10.85546875" style="50"/>
    <col min="3881" max="3881" width="18.42578125" style="50" bestFit="1" customWidth="1"/>
    <col min="3882" max="3882" width="16.140625" style="50" customWidth="1"/>
    <col min="3883" max="4096" width="10.85546875" style="50"/>
    <col min="4097" max="4097" width="42" style="50" customWidth="1"/>
    <col min="4098" max="4098" width="21.7109375" style="50" customWidth="1"/>
    <col min="4099" max="4110" width="20.7109375" style="50" customWidth="1"/>
    <col min="4111" max="4111" width="16.140625" style="50" customWidth="1"/>
    <col min="4112" max="4123" width="18.140625" style="50" customWidth="1"/>
    <col min="4124" max="4124" width="22.7109375" style="50" customWidth="1"/>
    <col min="4125" max="4125" width="19" style="50" customWidth="1"/>
    <col min="4126" max="4126" width="19.42578125" style="50" customWidth="1"/>
    <col min="4127" max="4127" width="6.28515625" style="50" bestFit="1" customWidth="1"/>
    <col min="4128" max="4128" width="22.85546875" style="50" customWidth="1"/>
    <col min="4129" max="4129" width="18.42578125" style="50" bestFit="1" customWidth="1"/>
    <col min="4130" max="4130" width="8.42578125" style="50" customWidth="1"/>
    <col min="4131" max="4131" width="18.42578125" style="50" bestFit="1" customWidth="1"/>
    <col min="4132" max="4132" width="5.7109375" style="50" customWidth="1"/>
    <col min="4133" max="4133" width="18.42578125" style="50" bestFit="1" customWidth="1"/>
    <col min="4134" max="4134" width="4.7109375" style="50" customWidth="1"/>
    <col min="4135" max="4135" width="23" style="50" bestFit="1" customWidth="1"/>
    <col min="4136" max="4136" width="10.85546875" style="50"/>
    <col min="4137" max="4137" width="18.42578125" style="50" bestFit="1" customWidth="1"/>
    <col min="4138" max="4138" width="16.140625" style="50" customWidth="1"/>
    <col min="4139" max="4352" width="10.85546875" style="50"/>
    <col min="4353" max="4353" width="42" style="50" customWidth="1"/>
    <col min="4354" max="4354" width="21.7109375" style="50" customWidth="1"/>
    <col min="4355" max="4366" width="20.7109375" style="50" customWidth="1"/>
    <col min="4367" max="4367" width="16.140625" style="50" customWidth="1"/>
    <col min="4368" max="4379" width="18.140625" style="50" customWidth="1"/>
    <col min="4380" max="4380" width="22.7109375" style="50" customWidth="1"/>
    <col min="4381" max="4381" width="19" style="50" customWidth="1"/>
    <col min="4382" max="4382" width="19.42578125" style="50" customWidth="1"/>
    <col min="4383" max="4383" width="6.28515625" style="50" bestFit="1" customWidth="1"/>
    <col min="4384" max="4384" width="22.85546875" style="50" customWidth="1"/>
    <col min="4385" max="4385" width="18.42578125" style="50" bestFit="1" customWidth="1"/>
    <col min="4386" max="4386" width="8.42578125" style="50" customWidth="1"/>
    <col min="4387" max="4387" width="18.42578125" style="50" bestFit="1" customWidth="1"/>
    <col min="4388" max="4388" width="5.7109375" style="50" customWidth="1"/>
    <col min="4389" max="4389" width="18.42578125" style="50" bestFit="1" customWidth="1"/>
    <col min="4390" max="4390" width="4.7109375" style="50" customWidth="1"/>
    <col min="4391" max="4391" width="23" style="50" bestFit="1" customWidth="1"/>
    <col min="4392" max="4392" width="10.85546875" style="50"/>
    <col min="4393" max="4393" width="18.42578125" style="50" bestFit="1" customWidth="1"/>
    <col min="4394" max="4394" width="16.140625" style="50" customWidth="1"/>
    <col min="4395" max="4608" width="10.85546875" style="50"/>
    <col min="4609" max="4609" width="42" style="50" customWidth="1"/>
    <col min="4610" max="4610" width="21.7109375" style="50" customWidth="1"/>
    <col min="4611" max="4622" width="20.7109375" style="50" customWidth="1"/>
    <col min="4623" max="4623" width="16.140625" style="50" customWidth="1"/>
    <col min="4624" max="4635" width="18.140625" style="50" customWidth="1"/>
    <col min="4636" max="4636" width="22.7109375" style="50" customWidth="1"/>
    <col min="4637" max="4637" width="19" style="50" customWidth="1"/>
    <col min="4638" max="4638" width="19.42578125" style="50" customWidth="1"/>
    <col min="4639" max="4639" width="6.28515625" style="50" bestFit="1" customWidth="1"/>
    <col min="4640" max="4640" width="22.85546875" style="50" customWidth="1"/>
    <col min="4641" max="4641" width="18.42578125" style="50" bestFit="1" customWidth="1"/>
    <col min="4642" max="4642" width="8.42578125" style="50" customWidth="1"/>
    <col min="4643" max="4643" width="18.42578125" style="50" bestFit="1" customWidth="1"/>
    <col min="4644" max="4644" width="5.7109375" style="50" customWidth="1"/>
    <col min="4645" max="4645" width="18.42578125" style="50" bestFit="1" customWidth="1"/>
    <col min="4646" max="4646" width="4.7109375" style="50" customWidth="1"/>
    <col min="4647" max="4647" width="23" style="50" bestFit="1" customWidth="1"/>
    <col min="4648" max="4648" width="10.85546875" style="50"/>
    <col min="4649" max="4649" width="18.42578125" style="50" bestFit="1" customWidth="1"/>
    <col min="4650" max="4650" width="16.140625" style="50" customWidth="1"/>
    <col min="4651" max="4864" width="10.85546875" style="50"/>
    <col min="4865" max="4865" width="42" style="50" customWidth="1"/>
    <col min="4866" max="4866" width="21.7109375" style="50" customWidth="1"/>
    <col min="4867" max="4878" width="20.7109375" style="50" customWidth="1"/>
    <col min="4879" max="4879" width="16.140625" style="50" customWidth="1"/>
    <col min="4880" max="4891" width="18.140625" style="50" customWidth="1"/>
    <col min="4892" max="4892" width="22.7109375" style="50" customWidth="1"/>
    <col min="4893" max="4893" width="19" style="50" customWidth="1"/>
    <col min="4894" max="4894" width="19.42578125" style="50" customWidth="1"/>
    <col min="4895" max="4895" width="6.28515625" style="50" bestFit="1" customWidth="1"/>
    <col min="4896" max="4896" width="22.85546875" style="50" customWidth="1"/>
    <col min="4897" max="4897" width="18.42578125" style="50" bestFit="1" customWidth="1"/>
    <col min="4898" max="4898" width="8.42578125" style="50" customWidth="1"/>
    <col min="4899" max="4899" width="18.42578125" style="50" bestFit="1" customWidth="1"/>
    <col min="4900" max="4900" width="5.7109375" style="50" customWidth="1"/>
    <col min="4901" max="4901" width="18.42578125" style="50" bestFit="1" customWidth="1"/>
    <col min="4902" max="4902" width="4.7109375" style="50" customWidth="1"/>
    <col min="4903" max="4903" width="23" style="50" bestFit="1" customWidth="1"/>
    <col min="4904" max="4904" width="10.85546875" style="50"/>
    <col min="4905" max="4905" width="18.42578125" style="50" bestFit="1" customWidth="1"/>
    <col min="4906" max="4906" width="16.140625" style="50" customWidth="1"/>
    <col min="4907" max="5120" width="10.85546875" style="50"/>
    <col min="5121" max="5121" width="42" style="50" customWidth="1"/>
    <col min="5122" max="5122" width="21.7109375" style="50" customWidth="1"/>
    <col min="5123" max="5134" width="20.7109375" style="50" customWidth="1"/>
    <col min="5135" max="5135" width="16.140625" style="50" customWidth="1"/>
    <col min="5136" max="5147" width="18.140625" style="50" customWidth="1"/>
    <col min="5148" max="5148" width="22.7109375" style="50" customWidth="1"/>
    <col min="5149" max="5149" width="19" style="50" customWidth="1"/>
    <col min="5150" max="5150" width="19.42578125" style="50" customWidth="1"/>
    <col min="5151" max="5151" width="6.28515625" style="50" bestFit="1" customWidth="1"/>
    <col min="5152" max="5152" width="22.85546875" style="50" customWidth="1"/>
    <col min="5153" max="5153" width="18.42578125" style="50" bestFit="1" customWidth="1"/>
    <col min="5154" max="5154" width="8.42578125" style="50" customWidth="1"/>
    <col min="5155" max="5155" width="18.42578125" style="50" bestFit="1" customWidth="1"/>
    <col min="5156" max="5156" width="5.7109375" style="50" customWidth="1"/>
    <col min="5157" max="5157" width="18.42578125" style="50" bestFit="1" customWidth="1"/>
    <col min="5158" max="5158" width="4.7109375" style="50" customWidth="1"/>
    <col min="5159" max="5159" width="23" style="50" bestFit="1" customWidth="1"/>
    <col min="5160" max="5160" width="10.85546875" style="50"/>
    <col min="5161" max="5161" width="18.42578125" style="50" bestFit="1" customWidth="1"/>
    <col min="5162" max="5162" width="16.140625" style="50" customWidth="1"/>
    <col min="5163" max="5376" width="10.85546875" style="50"/>
    <col min="5377" max="5377" width="42" style="50" customWidth="1"/>
    <col min="5378" max="5378" width="21.7109375" style="50" customWidth="1"/>
    <col min="5379" max="5390" width="20.7109375" style="50" customWidth="1"/>
    <col min="5391" max="5391" width="16.140625" style="50" customWidth="1"/>
    <col min="5392" max="5403" width="18.140625" style="50" customWidth="1"/>
    <col min="5404" max="5404" width="22.7109375" style="50" customWidth="1"/>
    <col min="5405" max="5405" width="19" style="50" customWidth="1"/>
    <col min="5406" max="5406" width="19.42578125" style="50" customWidth="1"/>
    <col min="5407" max="5407" width="6.28515625" style="50" bestFit="1" customWidth="1"/>
    <col min="5408" max="5408" width="22.85546875" style="50" customWidth="1"/>
    <col min="5409" max="5409" width="18.42578125" style="50" bestFit="1" customWidth="1"/>
    <col min="5410" max="5410" width="8.42578125" style="50" customWidth="1"/>
    <col min="5411" max="5411" width="18.42578125" style="50" bestFit="1" customWidth="1"/>
    <col min="5412" max="5412" width="5.7109375" style="50" customWidth="1"/>
    <col min="5413" max="5413" width="18.42578125" style="50" bestFit="1" customWidth="1"/>
    <col min="5414" max="5414" width="4.7109375" style="50" customWidth="1"/>
    <col min="5415" max="5415" width="23" style="50" bestFit="1" customWidth="1"/>
    <col min="5416" max="5416" width="10.85546875" style="50"/>
    <col min="5417" max="5417" width="18.42578125" style="50" bestFit="1" customWidth="1"/>
    <col min="5418" max="5418" width="16.140625" style="50" customWidth="1"/>
    <col min="5419" max="5632" width="10.85546875" style="50"/>
    <col min="5633" max="5633" width="42" style="50" customWidth="1"/>
    <col min="5634" max="5634" width="21.7109375" style="50" customWidth="1"/>
    <col min="5635" max="5646" width="20.7109375" style="50" customWidth="1"/>
    <col min="5647" max="5647" width="16.140625" style="50" customWidth="1"/>
    <col min="5648" max="5659" width="18.140625" style="50" customWidth="1"/>
    <col min="5660" max="5660" width="22.7109375" style="50" customWidth="1"/>
    <col min="5661" max="5661" width="19" style="50" customWidth="1"/>
    <col min="5662" max="5662" width="19.42578125" style="50" customWidth="1"/>
    <col min="5663" max="5663" width="6.28515625" style="50" bestFit="1" customWidth="1"/>
    <col min="5664" max="5664" width="22.85546875" style="50" customWidth="1"/>
    <col min="5665" max="5665" width="18.42578125" style="50" bestFit="1" customWidth="1"/>
    <col min="5666" max="5666" width="8.42578125" style="50" customWidth="1"/>
    <col min="5667" max="5667" width="18.42578125" style="50" bestFit="1" customWidth="1"/>
    <col min="5668" max="5668" width="5.7109375" style="50" customWidth="1"/>
    <col min="5669" max="5669" width="18.42578125" style="50" bestFit="1" customWidth="1"/>
    <col min="5670" max="5670" width="4.7109375" style="50" customWidth="1"/>
    <col min="5671" max="5671" width="23" style="50" bestFit="1" customWidth="1"/>
    <col min="5672" max="5672" width="10.85546875" style="50"/>
    <col min="5673" max="5673" width="18.42578125" style="50" bestFit="1" customWidth="1"/>
    <col min="5674" max="5674" width="16.140625" style="50" customWidth="1"/>
    <col min="5675" max="5888" width="10.85546875" style="50"/>
    <col min="5889" max="5889" width="42" style="50" customWidth="1"/>
    <col min="5890" max="5890" width="21.7109375" style="50" customWidth="1"/>
    <col min="5891" max="5902" width="20.7109375" style="50" customWidth="1"/>
    <col min="5903" max="5903" width="16.140625" style="50" customWidth="1"/>
    <col min="5904" max="5915" width="18.140625" style="50" customWidth="1"/>
    <col min="5916" max="5916" width="22.7109375" style="50" customWidth="1"/>
    <col min="5917" max="5917" width="19" style="50" customWidth="1"/>
    <col min="5918" max="5918" width="19.42578125" style="50" customWidth="1"/>
    <col min="5919" max="5919" width="6.28515625" style="50" bestFit="1" customWidth="1"/>
    <col min="5920" max="5920" width="22.85546875" style="50" customWidth="1"/>
    <col min="5921" max="5921" width="18.42578125" style="50" bestFit="1" customWidth="1"/>
    <col min="5922" max="5922" width="8.42578125" style="50" customWidth="1"/>
    <col min="5923" max="5923" width="18.42578125" style="50" bestFit="1" customWidth="1"/>
    <col min="5924" max="5924" width="5.7109375" style="50" customWidth="1"/>
    <col min="5925" max="5925" width="18.42578125" style="50" bestFit="1" customWidth="1"/>
    <col min="5926" max="5926" width="4.7109375" style="50" customWidth="1"/>
    <col min="5927" max="5927" width="23" style="50" bestFit="1" customWidth="1"/>
    <col min="5928" max="5928" width="10.85546875" style="50"/>
    <col min="5929" max="5929" width="18.42578125" style="50" bestFit="1" customWidth="1"/>
    <col min="5930" max="5930" width="16.140625" style="50" customWidth="1"/>
    <col min="5931" max="6144" width="10.85546875" style="50"/>
    <col min="6145" max="6145" width="42" style="50" customWidth="1"/>
    <col min="6146" max="6146" width="21.7109375" style="50" customWidth="1"/>
    <col min="6147" max="6158" width="20.7109375" style="50" customWidth="1"/>
    <col min="6159" max="6159" width="16.140625" style="50" customWidth="1"/>
    <col min="6160" max="6171" width="18.140625" style="50" customWidth="1"/>
    <col min="6172" max="6172" width="22.7109375" style="50" customWidth="1"/>
    <col min="6173" max="6173" width="19" style="50" customWidth="1"/>
    <col min="6174" max="6174" width="19.42578125" style="50" customWidth="1"/>
    <col min="6175" max="6175" width="6.28515625" style="50" bestFit="1" customWidth="1"/>
    <col min="6176" max="6176" width="22.85546875" style="50" customWidth="1"/>
    <col min="6177" max="6177" width="18.42578125" style="50" bestFit="1" customWidth="1"/>
    <col min="6178" max="6178" width="8.42578125" style="50" customWidth="1"/>
    <col min="6179" max="6179" width="18.42578125" style="50" bestFit="1" customWidth="1"/>
    <col min="6180" max="6180" width="5.7109375" style="50" customWidth="1"/>
    <col min="6181" max="6181" width="18.42578125" style="50" bestFit="1" customWidth="1"/>
    <col min="6182" max="6182" width="4.7109375" style="50" customWidth="1"/>
    <col min="6183" max="6183" width="23" style="50" bestFit="1" customWidth="1"/>
    <col min="6184" max="6184" width="10.85546875" style="50"/>
    <col min="6185" max="6185" width="18.42578125" style="50" bestFit="1" customWidth="1"/>
    <col min="6186" max="6186" width="16.140625" style="50" customWidth="1"/>
    <col min="6187" max="6400" width="10.85546875" style="50"/>
    <col min="6401" max="6401" width="42" style="50" customWidth="1"/>
    <col min="6402" max="6402" width="21.7109375" style="50" customWidth="1"/>
    <col min="6403" max="6414" width="20.7109375" style="50" customWidth="1"/>
    <col min="6415" max="6415" width="16.140625" style="50" customWidth="1"/>
    <col min="6416" max="6427" width="18.140625" style="50" customWidth="1"/>
    <col min="6428" max="6428" width="22.7109375" style="50" customWidth="1"/>
    <col min="6429" max="6429" width="19" style="50" customWidth="1"/>
    <col min="6430" max="6430" width="19.42578125" style="50" customWidth="1"/>
    <col min="6431" max="6431" width="6.28515625" style="50" bestFit="1" customWidth="1"/>
    <col min="6432" max="6432" width="22.85546875" style="50" customWidth="1"/>
    <col min="6433" max="6433" width="18.42578125" style="50" bestFit="1" customWidth="1"/>
    <col min="6434" max="6434" width="8.42578125" style="50" customWidth="1"/>
    <col min="6435" max="6435" width="18.42578125" style="50" bestFit="1" customWidth="1"/>
    <col min="6436" max="6436" width="5.7109375" style="50" customWidth="1"/>
    <col min="6437" max="6437" width="18.42578125" style="50" bestFit="1" customWidth="1"/>
    <col min="6438" max="6438" width="4.7109375" style="50" customWidth="1"/>
    <col min="6439" max="6439" width="23" style="50" bestFit="1" customWidth="1"/>
    <col min="6440" max="6440" width="10.85546875" style="50"/>
    <col min="6441" max="6441" width="18.42578125" style="50" bestFit="1" customWidth="1"/>
    <col min="6442" max="6442" width="16.140625" style="50" customWidth="1"/>
    <col min="6443" max="6656" width="10.85546875" style="50"/>
    <col min="6657" max="6657" width="42" style="50" customWidth="1"/>
    <col min="6658" max="6658" width="21.7109375" style="50" customWidth="1"/>
    <col min="6659" max="6670" width="20.7109375" style="50" customWidth="1"/>
    <col min="6671" max="6671" width="16.140625" style="50" customWidth="1"/>
    <col min="6672" max="6683" width="18.140625" style="50" customWidth="1"/>
    <col min="6684" max="6684" width="22.7109375" style="50" customWidth="1"/>
    <col min="6685" max="6685" width="19" style="50" customWidth="1"/>
    <col min="6686" max="6686" width="19.42578125" style="50" customWidth="1"/>
    <col min="6687" max="6687" width="6.28515625" style="50" bestFit="1" customWidth="1"/>
    <col min="6688" max="6688" width="22.85546875" style="50" customWidth="1"/>
    <col min="6689" max="6689" width="18.42578125" style="50" bestFit="1" customWidth="1"/>
    <col min="6690" max="6690" width="8.42578125" style="50" customWidth="1"/>
    <col min="6691" max="6691" width="18.42578125" style="50" bestFit="1" customWidth="1"/>
    <col min="6692" max="6692" width="5.7109375" style="50" customWidth="1"/>
    <col min="6693" max="6693" width="18.42578125" style="50" bestFit="1" customWidth="1"/>
    <col min="6694" max="6694" width="4.7109375" style="50" customWidth="1"/>
    <col min="6695" max="6695" width="23" style="50" bestFit="1" customWidth="1"/>
    <col min="6696" max="6696" width="10.85546875" style="50"/>
    <col min="6697" max="6697" width="18.42578125" style="50" bestFit="1" customWidth="1"/>
    <col min="6698" max="6698" width="16.140625" style="50" customWidth="1"/>
    <col min="6699" max="6912" width="10.85546875" style="50"/>
    <col min="6913" max="6913" width="42" style="50" customWidth="1"/>
    <col min="6914" max="6914" width="21.7109375" style="50" customWidth="1"/>
    <col min="6915" max="6926" width="20.7109375" style="50" customWidth="1"/>
    <col min="6927" max="6927" width="16.140625" style="50" customWidth="1"/>
    <col min="6928" max="6939" width="18.140625" style="50" customWidth="1"/>
    <col min="6940" max="6940" width="22.7109375" style="50" customWidth="1"/>
    <col min="6941" max="6941" width="19" style="50" customWidth="1"/>
    <col min="6942" max="6942" width="19.42578125" style="50" customWidth="1"/>
    <col min="6943" max="6943" width="6.28515625" style="50" bestFit="1" customWidth="1"/>
    <col min="6944" max="6944" width="22.85546875" style="50" customWidth="1"/>
    <col min="6945" max="6945" width="18.42578125" style="50" bestFit="1" customWidth="1"/>
    <col min="6946" max="6946" width="8.42578125" style="50" customWidth="1"/>
    <col min="6947" max="6947" width="18.42578125" style="50" bestFit="1" customWidth="1"/>
    <col min="6948" max="6948" width="5.7109375" style="50" customWidth="1"/>
    <col min="6949" max="6949" width="18.42578125" style="50" bestFit="1" customWidth="1"/>
    <col min="6950" max="6950" width="4.7109375" style="50" customWidth="1"/>
    <col min="6951" max="6951" width="23" style="50" bestFit="1" customWidth="1"/>
    <col min="6952" max="6952" width="10.85546875" style="50"/>
    <col min="6953" max="6953" width="18.42578125" style="50" bestFit="1" customWidth="1"/>
    <col min="6954" max="6954" width="16.140625" style="50" customWidth="1"/>
    <col min="6955" max="7168" width="10.85546875" style="50"/>
    <col min="7169" max="7169" width="42" style="50" customWidth="1"/>
    <col min="7170" max="7170" width="21.7109375" style="50" customWidth="1"/>
    <col min="7171" max="7182" width="20.7109375" style="50" customWidth="1"/>
    <col min="7183" max="7183" width="16.140625" style="50" customWidth="1"/>
    <col min="7184" max="7195" width="18.140625" style="50" customWidth="1"/>
    <col min="7196" max="7196" width="22.7109375" style="50" customWidth="1"/>
    <col min="7197" max="7197" width="19" style="50" customWidth="1"/>
    <col min="7198" max="7198" width="19.42578125" style="50" customWidth="1"/>
    <col min="7199" max="7199" width="6.28515625" style="50" bestFit="1" customWidth="1"/>
    <col min="7200" max="7200" width="22.85546875" style="50" customWidth="1"/>
    <col min="7201" max="7201" width="18.42578125" style="50" bestFit="1" customWidth="1"/>
    <col min="7202" max="7202" width="8.42578125" style="50" customWidth="1"/>
    <col min="7203" max="7203" width="18.42578125" style="50" bestFit="1" customWidth="1"/>
    <col min="7204" max="7204" width="5.7109375" style="50" customWidth="1"/>
    <col min="7205" max="7205" width="18.42578125" style="50" bestFit="1" customWidth="1"/>
    <col min="7206" max="7206" width="4.7109375" style="50" customWidth="1"/>
    <col min="7207" max="7207" width="23" style="50" bestFit="1" customWidth="1"/>
    <col min="7208" max="7208" width="10.85546875" style="50"/>
    <col min="7209" max="7209" width="18.42578125" style="50" bestFit="1" customWidth="1"/>
    <col min="7210" max="7210" width="16.140625" style="50" customWidth="1"/>
    <col min="7211" max="7424" width="10.85546875" style="50"/>
    <col min="7425" max="7425" width="42" style="50" customWidth="1"/>
    <col min="7426" max="7426" width="21.7109375" style="50" customWidth="1"/>
    <col min="7427" max="7438" width="20.7109375" style="50" customWidth="1"/>
    <col min="7439" max="7439" width="16.140625" style="50" customWidth="1"/>
    <col min="7440" max="7451" width="18.140625" style="50" customWidth="1"/>
    <col min="7452" max="7452" width="22.7109375" style="50" customWidth="1"/>
    <col min="7453" max="7453" width="19" style="50" customWidth="1"/>
    <col min="7454" max="7454" width="19.42578125" style="50" customWidth="1"/>
    <col min="7455" max="7455" width="6.28515625" style="50" bestFit="1" customWidth="1"/>
    <col min="7456" max="7456" width="22.85546875" style="50" customWidth="1"/>
    <col min="7457" max="7457" width="18.42578125" style="50" bestFit="1" customWidth="1"/>
    <col min="7458" max="7458" width="8.42578125" style="50" customWidth="1"/>
    <col min="7459" max="7459" width="18.42578125" style="50" bestFit="1" customWidth="1"/>
    <col min="7460" max="7460" width="5.7109375" style="50" customWidth="1"/>
    <col min="7461" max="7461" width="18.42578125" style="50" bestFit="1" customWidth="1"/>
    <col min="7462" max="7462" width="4.7109375" style="50" customWidth="1"/>
    <col min="7463" max="7463" width="23" style="50" bestFit="1" customWidth="1"/>
    <col min="7464" max="7464" width="10.85546875" style="50"/>
    <col min="7465" max="7465" width="18.42578125" style="50" bestFit="1" customWidth="1"/>
    <col min="7466" max="7466" width="16.140625" style="50" customWidth="1"/>
    <col min="7467" max="7680" width="10.85546875" style="50"/>
    <col min="7681" max="7681" width="42" style="50" customWidth="1"/>
    <col min="7682" max="7682" width="21.7109375" style="50" customWidth="1"/>
    <col min="7683" max="7694" width="20.7109375" style="50" customWidth="1"/>
    <col min="7695" max="7695" width="16.140625" style="50" customWidth="1"/>
    <col min="7696" max="7707" width="18.140625" style="50" customWidth="1"/>
    <col min="7708" max="7708" width="22.7109375" style="50" customWidth="1"/>
    <col min="7709" max="7709" width="19" style="50" customWidth="1"/>
    <col min="7710" max="7710" width="19.42578125" style="50" customWidth="1"/>
    <col min="7711" max="7711" width="6.28515625" style="50" bestFit="1" customWidth="1"/>
    <col min="7712" max="7712" width="22.85546875" style="50" customWidth="1"/>
    <col min="7713" max="7713" width="18.42578125" style="50" bestFit="1" customWidth="1"/>
    <col min="7714" max="7714" width="8.42578125" style="50" customWidth="1"/>
    <col min="7715" max="7715" width="18.42578125" style="50" bestFit="1" customWidth="1"/>
    <col min="7716" max="7716" width="5.7109375" style="50" customWidth="1"/>
    <col min="7717" max="7717" width="18.42578125" style="50" bestFit="1" customWidth="1"/>
    <col min="7718" max="7718" width="4.7109375" style="50" customWidth="1"/>
    <col min="7719" max="7719" width="23" style="50" bestFit="1" customWidth="1"/>
    <col min="7720" max="7720" width="10.85546875" style="50"/>
    <col min="7721" max="7721" width="18.42578125" style="50" bestFit="1" customWidth="1"/>
    <col min="7722" max="7722" width="16.140625" style="50" customWidth="1"/>
    <col min="7723" max="7936" width="10.85546875" style="50"/>
    <col min="7937" max="7937" width="42" style="50" customWidth="1"/>
    <col min="7938" max="7938" width="21.7109375" style="50" customWidth="1"/>
    <col min="7939" max="7950" width="20.7109375" style="50" customWidth="1"/>
    <col min="7951" max="7951" width="16.140625" style="50" customWidth="1"/>
    <col min="7952" max="7963" width="18.140625" style="50" customWidth="1"/>
    <col min="7964" max="7964" width="22.7109375" style="50" customWidth="1"/>
    <col min="7965" max="7965" width="19" style="50" customWidth="1"/>
    <col min="7966" max="7966" width="19.42578125" style="50" customWidth="1"/>
    <col min="7967" max="7967" width="6.28515625" style="50" bestFit="1" customWidth="1"/>
    <col min="7968" max="7968" width="22.85546875" style="50" customWidth="1"/>
    <col min="7969" max="7969" width="18.42578125" style="50" bestFit="1" customWidth="1"/>
    <col min="7970" max="7970" width="8.42578125" style="50" customWidth="1"/>
    <col min="7971" max="7971" width="18.42578125" style="50" bestFit="1" customWidth="1"/>
    <col min="7972" max="7972" width="5.7109375" style="50" customWidth="1"/>
    <col min="7973" max="7973" width="18.42578125" style="50" bestFit="1" customWidth="1"/>
    <col min="7974" max="7974" width="4.7109375" style="50" customWidth="1"/>
    <col min="7975" max="7975" width="23" style="50" bestFit="1" customWidth="1"/>
    <col min="7976" max="7976" width="10.85546875" style="50"/>
    <col min="7977" max="7977" width="18.42578125" style="50" bestFit="1" customWidth="1"/>
    <col min="7978" max="7978" width="16.140625" style="50" customWidth="1"/>
    <col min="7979" max="8192" width="10.85546875" style="50"/>
    <col min="8193" max="8193" width="42" style="50" customWidth="1"/>
    <col min="8194" max="8194" width="21.7109375" style="50" customWidth="1"/>
    <col min="8195" max="8206" width="20.7109375" style="50" customWidth="1"/>
    <col min="8207" max="8207" width="16.140625" style="50" customWidth="1"/>
    <col min="8208" max="8219" width="18.140625" style="50" customWidth="1"/>
    <col min="8220" max="8220" width="22.7109375" style="50" customWidth="1"/>
    <col min="8221" max="8221" width="19" style="50" customWidth="1"/>
    <col min="8222" max="8222" width="19.42578125" style="50" customWidth="1"/>
    <col min="8223" max="8223" width="6.28515625" style="50" bestFit="1" customWidth="1"/>
    <col min="8224" max="8224" width="22.85546875" style="50" customWidth="1"/>
    <col min="8225" max="8225" width="18.42578125" style="50" bestFit="1" customWidth="1"/>
    <col min="8226" max="8226" width="8.42578125" style="50" customWidth="1"/>
    <col min="8227" max="8227" width="18.42578125" style="50" bestFit="1" customWidth="1"/>
    <col min="8228" max="8228" width="5.7109375" style="50" customWidth="1"/>
    <col min="8229" max="8229" width="18.42578125" style="50" bestFit="1" customWidth="1"/>
    <col min="8230" max="8230" width="4.7109375" style="50" customWidth="1"/>
    <col min="8231" max="8231" width="23" style="50" bestFit="1" customWidth="1"/>
    <col min="8232" max="8232" width="10.85546875" style="50"/>
    <col min="8233" max="8233" width="18.42578125" style="50" bestFit="1" customWidth="1"/>
    <col min="8234" max="8234" width="16.140625" style="50" customWidth="1"/>
    <col min="8235" max="8448" width="10.85546875" style="50"/>
    <col min="8449" max="8449" width="42" style="50" customWidth="1"/>
    <col min="8450" max="8450" width="21.7109375" style="50" customWidth="1"/>
    <col min="8451" max="8462" width="20.7109375" style="50" customWidth="1"/>
    <col min="8463" max="8463" width="16.140625" style="50" customWidth="1"/>
    <col min="8464" max="8475" width="18.140625" style="50" customWidth="1"/>
    <col min="8476" max="8476" width="22.7109375" style="50" customWidth="1"/>
    <col min="8477" max="8477" width="19" style="50" customWidth="1"/>
    <col min="8478" max="8478" width="19.42578125" style="50" customWidth="1"/>
    <col min="8479" max="8479" width="6.28515625" style="50" bestFit="1" customWidth="1"/>
    <col min="8480" max="8480" width="22.85546875" style="50" customWidth="1"/>
    <col min="8481" max="8481" width="18.42578125" style="50" bestFit="1" customWidth="1"/>
    <col min="8482" max="8482" width="8.42578125" style="50" customWidth="1"/>
    <col min="8483" max="8483" width="18.42578125" style="50" bestFit="1" customWidth="1"/>
    <col min="8484" max="8484" width="5.7109375" style="50" customWidth="1"/>
    <col min="8485" max="8485" width="18.42578125" style="50" bestFit="1" customWidth="1"/>
    <col min="8486" max="8486" width="4.7109375" style="50" customWidth="1"/>
    <col min="8487" max="8487" width="23" style="50" bestFit="1" customWidth="1"/>
    <col min="8488" max="8488" width="10.85546875" style="50"/>
    <col min="8489" max="8489" width="18.42578125" style="50" bestFit="1" customWidth="1"/>
    <col min="8490" max="8490" width="16.140625" style="50" customWidth="1"/>
    <col min="8491" max="8704" width="10.85546875" style="50"/>
    <col min="8705" max="8705" width="42" style="50" customWidth="1"/>
    <col min="8706" max="8706" width="21.7109375" style="50" customWidth="1"/>
    <col min="8707" max="8718" width="20.7109375" style="50" customWidth="1"/>
    <col min="8719" max="8719" width="16.140625" style="50" customWidth="1"/>
    <col min="8720" max="8731" width="18.140625" style="50" customWidth="1"/>
    <col min="8732" max="8732" width="22.7109375" style="50" customWidth="1"/>
    <col min="8733" max="8733" width="19" style="50" customWidth="1"/>
    <col min="8734" max="8734" width="19.42578125" style="50" customWidth="1"/>
    <col min="8735" max="8735" width="6.28515625" style="50" bestFit="1" customWidth="1"/>
    <col min="8736" max="8736" width="22.85546875" style="50" customWidth="1"/>
    <col min="8737" max="8737" width="18.42578125" style="50" bestFit="1" customWidth="1"/>
    <col min="8738" max="8738" width="8.42578125" style="50" customWidth="1"/>
    <col min="8739" max="8739" width="18.42578125" style="50" bestFit="1" customWidth="1"/>
    <col min="8740" max="8740" width="5.7109375" style="50" customWidth="1"/>
    <col min="8741" max="8741" width="18.42578125" style="50" bestFit="1" customWidth="1"/>
    <col min="8742" max="8742" width="4.7109375" style="50" customWidth="1"/>
    <col min="8743" max="8743" width="23" style="50" bestFit="1" customWidth="1"/>
    <col min="8744" max="8744" width="10.85546875" style="50"/>
    <col min="8745" max="8745" width="18.42578125" style="50" bestFit="1" customWidth="1"/>
    <col min="8746" max="8746" width="16.140625" style="50" customWidth="1"/>
    <col min="8747" max="8960" width="10.85546875" style="50"/>
    <col min="8961" max="8961" width="42" style="50" customWidth="1"/>
    <col min="8962" max="8962" width="21.7109375" style="50" customWidth="1"/>
    <col min="8963" max="8974" width="20.7109375" style="50" customWidth="1"/>
    <col min="8975" max="8975" width="16.140625" style="50" customWidth="1"/>
    <col min="8976" max="8987" width="18.140625" style="50" customWidth="1"/>
    <col min="8988" max="8988" width="22.7109375" style="50" customWidth="1"/>
    <col min="8989" max="8989" width="19" style="50" customWidth="1"/>
    <col min="8990" max="8990" width="19.42578125" style="50" customWidth="1"/>
    <col min="8991" max="8991" width="6.28515625" style="50" bestFit="1" customWidth="1"/>
    <col min="8992" max="8992" width="22.85546875" style="50" customWidth="1"/>
    <col min="8993" max="8993" width="18.42578125" style="50" bestFit="1" customWidth="1"/>
    <col min="8994" max="8994" width="8.42578125" style="50" customWidth="1"/>
    <col min="8995" max="8995" width="18.42578125" style="50" bestFit="1" customWidth="1"/>
    <col min="8996" max="8996" width="5.7109375" style="50" customWidth="1"/>
    <col min="8997" max="8997" width="18.42578125" style="50" bestFit="1" customWidth="1"/>
    <col min="8998" max="8998" width="4.7109375" style="50" customWidth="1"/>
    <col min="8999" max="8999" width="23" style="50" bestFit="1" customWidth="1"/>
    <col min="9000" max="9000" width="10.85546875" style="50"/>
    <col min="9001" max="9001" width="18.42578125" style="50" bestFit="1" customWidth="1"/>
    <col min="9002" max="9002" width="16.140625" style="50" customWidth="1"/>
    <col min="9003" max="9216" width="10.85546875" style="50"/>
    <col min="9217" max="9217" width="42" style="50" customWidth="1"/>
    <col min="9218" max="9218" width="21.7109375" style="50" customWidth="1"/>
    <col min="9219" max="9230" width="20.7109375" style="50" customWidth="1"/>
    <col min="9231" max="9231" width="16.140625" style="50" customWidth="1"/>
    <col min="9232" max="9243" width="18.140625" style="50" customWidth="1"/>
    <col min="9244" max="9244" width="22.7109375" style="50" customWidth="1"/>
    <col min="9245" max="9245" width="19" style="50" customWidth="1"/>
    <col min="9246" max="9246" width="19.42578125" style="50" customWidth="1"/>
    <col min="9247" max="9247" width="6.28515625" style="50" bestFit="1" customWidth="1"/>
    <col min="9248" max="9248" width="22.85546875" style="50" customWidth="1"/>
    <col min="9249" max="9249" width="18.42578125" style="50" bestFit="1" customWidth="1"/>
    <col min="9250" max="9250" width="8.42578125" style="50" customWidth="1"/>
    <col min="9251" max="9251" width="18.42578125" style="50" bestFit="1" customWidth="1"/>
    <col min="9252" max="9252" width="5.7109375" style="50" customWidth="1"/>
    <col min="9253" max="9253" width="18.42578125" style="50" bestFit="1" customWidth="1"/>
    <col min="9254" max="9254" width="4.7109375" style="50" customWidth="1"/>
    <col min="9255" max="9255" width="23" style="50" bestFit="1" customWidth="1"/>
    <col min="9256" max="9256" width="10.85546875" style="50"/>
    <col min="9257" max="9257" width="18.42578125" style="50" bestFit="1" customWidth="1"/>
    <col min="9258" max="9258" width="16.140625" style="50" customWidth="1"/>
    <col min="9259" max="9472" width="10.85546875" style="50"/>
    <col min="9473" max="9473" width="42" style="50" customWidth="1"/>
    <col min="9474" max="9474" width="21.7109375" style="50" customWidth="1"/>
    <col min="9475" max="9486" width="20.7109375" style="50" customWidth="1"/>
    <col min="9487" max="9487" width="16.140625" style="50" customWidth="1"/>
    <col min="9488" max="9499" width="18.140625" style="50" customWidth="1"/>
    <col min="9500" max="9500" width="22.7109375" style="50" customWidth="1"/>
    <col min="9501" max="9501" width="19" style="50" customWidth="1"/>
    <col min="9502" max="9502" width="19.42578125" style="50" customWidth="1"/>
    <col min="9503" max="9503" width="6.28515625" style="50" bestFit="1" customWidth="1"/>
    <col min="9504" max="9504" width="22.85546875" style="50" customWidth="1"/>
    <col min="9505" max="9505" width="18.42578125" style="50" bestFit="1" customWidth="1"/>
    <col min="9506" max="9506" width="8.42578125" style="50" customWidth="1"/>
    <col min="9507" max="9507" width="18.42578125" style="50" bestFit="1" customWidth="1"/>
    <col min="9508" max="9508" width="5.7109375" style="50" customWidth="1"/>
    <col min="9509" max="9509" width="18.42578125" style="50" bestFit="1" customWidth="1"/>
    <col min="9510" max="9510" width="4.7109375" style="50" customWidth="1"/>
    <col min="9511" max="9511" width="23" style="50" bestFit="1" customWidth="1"/>
    <col min="9512" max="9512" width="10.85546875" style="50"/>
    <col min="9513" max="9513" width="18.42578125" style="50" bestFit="1" customWidth="1"/>
    <col min="9514" max="9514" width="16.140625" style="50" customWidth="1"/>
    <col min="9515" max="9728" width="10.85546875" style="50"/>
    <col min="9729" max="9729" width="42" style="50" customWidth="1"/>
    <col min="9730" max="9730" width="21.7109375" style="50" customWidth="1"/>
    <col min="9731" max="9742" width="20.7109375" style="50" customWidth="1"/>
    <col min="9743" max="9743" width="16.140625" style="50" customWidth="1"/>
    <col min="9744" max="9755" width="18.140625" style="50" customWidth="1"/>
    <col min="9756" max="9756" width="22.7109375" style="50" customWidth="1"/>
    <col min="9757" max="9757" width="19" style="50" customWidth="1"/>
    <col min="9758" max="9758" width="19.42578125" style="50" customWidth="1"/>
    <col min="9759" max="9759" width="6.28515625" style="50" bestFit="1" customWidth="1"/>
    <col min="9760" max="9760" width="22.85546875" style="50" customWidth="1"/>
    <col min="9761" max="9761" width="18.42578125" style="50" bestFit="1" customWidth="1"/>
    <col min="9762" max="9762" width="8.42578125" style="50" customWidth="1"/>
    <col min="9763" max="9763" width="18.42578125" style="50" bestFit="1" customWidth="1"/>
    <col min="9764" max="9764" width="5.7109375" style="50" customWidth="1"/>
    <col min="9765" max="9765" width="18.42578125" style="50" bestFit="1" customWidth="1"/>
    <col min="9766" max="9766" width="4.7109375" style="50" customWidth="1"/>
    <col min="9767" max="9767" width="23" style="50" bestFit="1" customWidth="1"/>
    <col min="9768" max="9768" width="10.85546875" style="50"/>
    <col min="9769" max="9769" width="18.42578125" style="50" bestFit="1" customWidth="1"/>
    <col min="9770" max="9770" width="16.140625" style="50" customWidth="1"/>
    <col min="9771" max="9984" width="10.85546875" style="50"/>
    <col min="9985" max="9985" width="42" style="50" customWidth="1"/>
    <col min="9986" max="9986" width="21.7109375" style="50" customWidth="1"/>
    <col min="9987" max="9998" width="20.7109375" style="50" customWidth="1"/>
    <col min="9999" max="9999" width="16.140625" style="50" customWidth="1"/>
    <col min="10000" max="10011" width="18.140625" style="50" customWidth="1"/>
    <col min="10012" max="10012" width="22.7109375" style="50" customWidth="1"/>
    <col min="10013" max="10013" width="19" style="50" customWidth="1"/>
    <col min="10014" max="10014" width="19.42578125" style="50" customWidth="1"/>
    <col min="10015" max="10015" width="6.28515625" style="50" bestFit="1" customWidth="1"/>
    <col min="10016" max="10016" width="22.85546875" style="50" customWidth="1"/>
    <col min="10017" max="10017" width="18.42578125" style="50" bestFit="1" customWidth="1"/>
    <col min="10018" max="10018" width="8.42578125" style="50" customWidth="1"/>
    <col min="10019" max="10019" width="18.42578125" style="50" bestFit="1" customWidth="1"/>
    <col min="10020" max="10020" width="5.7109375" style="50" customWidth="1"/>
    <col min="10021" max="10021" width="18.42578125" style="50" bestFit="1" customWidth="1"/>
    <col min="10022" max="10022" width="4.7109375" style="50" customWidth="1"/>
    <col min="10023" max="10023" width="23" style="50" bestFit="1" customWidth="1"/>
    <col min="10024" max="10024" width="10.85546875" style="50"/>
    <col min="10025" max="10025" width="18.42578125" style="50" bestFit="1" customWidth="1"/>
    <col min="10026" max="10026" width="16.140625" style="50" customWidth="1"/>
    <col min="10027" max="10240" width="10.85546875" style="50"/>
    <col min="10241" max="10241" width="42" style="50" customWidth="1"/>
    <col min="10242" max="10242" width="21.7109375" style="50" customWidth="1"/>
    <col min="10243" max="10254" width="20.7109375" style="50" customWidth="1"/>
    <col min="10255" max="10255" width="16.140625" style="50" customWidth="1"/>
    <col min="10256" max="10267" width="18.140625" style="50" customWidth="1"/>
    <col min="10268" max="10268" width="22.7109375" style="50" customWidth="1"/>
    <col min="10269" max="10269" width="19" style="50" customWidth="1"/>
    <col min="10270" max="10270" width="19.42578125" style="50" customWidth="1"/>
    <col min="10271" max="10271" width="6.28515625" style="50" bestFit="1" customWidth="1"/>
    <col min="10272" max="10272" width="22.85546875" style="50" customWidth="1"/>
    <col min="10273" max="10273" width="18.42578125" style="50" bestFit="1" customWidth="1"/>
    <col min="10274" max="10274" width="8.42578125" style="50" customWidth="1"/>
    <col min="10275" max="10275" width="18.42578125" style="50" bestFit="1" customWidth="1"/>
    <col min="10276" max="10276" width="5.7109375" style="50" customWidth="1"/>
    <col min="10277" max="10277" width="18.42578125" style="50" bestFit="1" customWidth="1"/>
    <col min="10278" max="10278" width="4.7109375" style="50" customWidth="1"/>
    <col min="10279" max="10279" width="23" style="50" bestFit="1" customWidth="1"/>
    <col min="10280" max="10280" width="10.85546875" style="50"/>
    <col min="10281" max="10281" width="18.42578125" style="50" bestFit="1" customWidth="1"/>
    <col min="10282" max="10282" width="16.140625" style="50" customWidth="1"/>
    <col min="10283" max="10496" width="10.85546875" style="50"/>
    <col min="10497" max="10497" width="42" style="50" customWidth="1"/>
    <col min="10498" max="10498" width="21.7109375" style="50" customWidth="1"/>
    <col min="10499" max="10510" width="20.7109375" style="50" customWidth="1"/>
    <col min="10511" max="10511" width="16.140625" style="50" customWidth="1"/>
    <col min="10512" max="10523" width="18.140625" style="50" customWidth="1"/>
    <col min="10524" max="10524" width="22.7109375" style="50" customWidth="1"/>
    <col min="10525" max="10525" width="19" style="50" customWidth="1"/>
    <col min="10526" max="10526" width="19.42578125" style="50" customWidth="1"/>
    <col min="10527" max="10527" width="6.28515625" style="50" bestFit="1" customWidth="1"/>
    <col min="10528" max="10528" width="22.85546875" style="50" customWidth="1"/>
    <col min="10529" max="10529" width="18.42578125" style="50" bestFit="1" customWidth="1"/>
    <col min="10530" max="10530" width="8.42578125" style="50" customWidth="1"/>
    <col min="10531" max="10531" width="18.42578125" style="50" bestFit="1" customWidth="1"/>
    <col min="10532" max="10532" width="5.7109375" style="50" customWidth="1"/>
    <col min="10533" max="10533" width="18.42578125" style="50" bestFit="1" customWidth="1"/>
    <col min="10534" max="10534" width="4.7109375" style="50" customWidth="1"/>
    <col min="10535" max="10535" width="23" style="50" bestFit="1" customWidth="1"/>
    <col min="10536" max="10536" width="10.85546875" style="50"/>
    <col min="10537" max="10537" width="18.42578125" style="50" bestFit="1" customWidth="1"/>
    <col min="10538" max="10538" width="16.140625" style="50" customWidth="1"/>
    <col min="10539" max="10752" width="10.85546875" style="50"/>
    <col min="10753" max="10753" width="42" style="50" customWidth="1"/>
    <col min="10754" max="10754" width="21.7109375" style="50" customWidth="1"/>
    <col min="10755" max="10766" width="20.7109375" style="50" customWidth="1"/>
    <col min="10767" max="10767" width="16.140625" style="50" customWidth="1"/>
    <col min="10768" max="10779" width="18.140625" style="50" customWidth="1"/>
    <col min="10780" max="10780" width="22.7109375" style="50" customWidth="1"/>
    <col min="10781" max="10781" width="19" style="50" customWidth="1"/>
    <col min="10782" max="10782" width="19.42578125" style="50" customWidth="1"/>
    <col min="10783" max="10783" width="6.28515625" style="50" bestFit="1" customWidth="1"/>
    <col min="10784" max="10784" width="22.85546875" style="50" customWidth="1"/>
    <col min="10785" max="10785" width="18.42578125" style="50" bestFit="1" customWidth="1"/>
    <col min="10786" max="10786" width="8.42578125" style="50" customWidth="1"/>
    <col min="10787" max="10787" width="18.42578125" style="50" bestFit="1" customWidth="1"/>
    <col min="10788" max="10788" width="5.7109375" style="50" customWidth="1"/>
    <col min="10789" max="10789" width="18.42578125" style="50" bestFit="1" customWidth="1"/>
    <col min="10790" max="10790" width="4.7109375" style="50" customWidth="1"/>
    <col min="10791" max="10791" width="23" style="50" bestFit="1" customWidth="1"/>
    <col min="10792" max="10792" width="10.85546875" style="50"/>
    <col min="10793" max="10793" width="18.42578125" style="50" bestFit="1" customWidth="1"/>
    <col min="10794" max="10794" width="16.140625" style="50" customWidth="1"/>
    <col min="10795" max="11008" width="10.85546875" style="50"/>
    <col min="11009" max="11009" width="42" style="50" customWidth="1"/>
    <col min="11010" max="11010" width="21.7109375" style="50" customWidth="1"/>
    <col min="11011" max="11022" width="20.7109375" style="50" customWidth="1"/>
    <col min="11023" max="11023" width="16.140625" style="50" customWidth="1"/>
    <col min="11024" max="11035" width="18.140625" style="50" customWidth="1"/>
    <col min="11036" max="11036" width="22.7109375" style="50" customWidth="1"/>
    <col min="11037" max="11037" width="19" style="50" customWidth="1"/>
    <col min="11038" max="11038" width="19.42578125" style="50" customWidth="1"/>
    <col min="11039" max="11039" width="6.28515625" style="50" bestFit="1" customWidth="1"/>
    <col min="11040" max="11040" width="22.85546875" style="50" customWidth="1"/>
    <col min="11041" max="11041" width="18.42578125" style="50" bestFit="1" customWidth="1"/>
    <col min="11042" max="11042" width="8.42578125" style="50" customWidth="1"/>
    <col min="11043" max="11043" width="18.42578125" style="50" bestFit="1" customWidth="1"/>
    <col min="11044" max="11044" width="5.7109375" style="50" customWidth="1"/>
    <col min="11045" max="11045" width="18.42578125" style="50" bestFit="1" customWidth="1"/>
    <col min="11046" max="11046" width="4.7109375" style="50" customWidth="1"/>
    <col min="11047" max="11047" width="23" style="50" bestFit="1" customWidth="1"/>
    <col min="11048" max="11048" width="10.85546875" style="50"/>
    <col min="11049" max="11049" width="18.42578125" style="50" bestFit="1" customWidth="1"/>
    <col min="11050" max="11050" width="16.140625" style="50" customWidth="1"/>
    <col min="11051" max="11264" width="10.85546875" style="50"/>
    <col min="11265" max="11265" width="42" style="50" customWidth="1"/>
    <col min="11266" max="11266" width="21.7109375" style="50" customWidth="1"/>
    <col min="11267" max="11278" width="20.7109375" style="50" customWidth="1"/>
    <col min="11279" max="11279" width="16.140625" style="50" customWidth="1"/>
    <col min="11280" max="11291" width="18.140625" style="50" customWidth="1"/>
    <col min="11292" max="11292" width="22.7109375" style="50" customWidth="1"/>
    <col min="11293" max="11293" width="19" style="50" customWidth="1"/>
    <col min="11294" max="11294" width="19.42578125" style="50" customWidth="1"/>
    <col min="11295" max="11295" width="6.28515625" style="50" bestFit="1" customWidth="1"/>
    <col min="11296" max="11296" width="22.85546875" style="50" customWidth="1"/>
    <col min="11297" max="11297" width="18.42578125" style="50" bestFit="1" customWidth="1"/>
    <col min="11298" max="11298" width="8.42578125" style="50" customWidth="1"/>
    <col min="11299" max="11299" width="18.42578125" style="50" bestFit="1" customWidth="1"/>
    <col min="11300" max="11300" width="5.7109375" style="50" customWidth="1"/>
    <col min="11301" max="11301" width="18.42578125" style="50" bestFit="1" customWidth="1"/>
    <col min="11302" max="11302" width="4.7109375" style="50" customWidth="1"/>
    <col min="11303" max="11303" width="23" style="50" bestFit="1" customWidth="1"/>
    <col min="11304" max="11304" width="10.85546875" style="50"/>
    <col min="11305" max="11305" width="18.42578125" style="50" bestFit="1" customWidth="1"/>
    <col min="11306" max="11306" width="16.140625" style="50" customWidth="1"/>
    <col min="11307" max="11520" width="10.85546875" style="50"/>
    <col min="11521" max="11521" width="42" style="50" customWidth="1"/>
    <col min="11522" max="11522" width="21.7109375" style="50" customWidth="1"/>
    <col min="11523" max="11534" width="20.7109375" style="50" customWidth="1"/>
    <col min="11535" max="11535" width="16.140625" style="50" customWidth="1"/>
    <col min="11536" max="11547" width="18.140625" style="50" customWidth="1"/>
    <col min="11548" max="11548" width="22.7109375" style="50" customWidth="1"/>
    <col min="11549" max="11549" width="19" style="50" customWidth="1"/>
    <col min="11550" max="11550" width="19.42578125" style="50" customWidth="1"/>
    <col min="11551" max="11551" width="6.28515625" style="50" bestFit="1" customWidth="1"/>
    <col min="11552" max="11552" width="22.85546875" style="50" customWidth="1"/>
    <col min="11553" max="11553" width="18.42578125" style="50" bestFit="1" customWidth="1"/>
    <col min="11554" max="11554" width="8.42578125" style="50" customWidth="1"/>
    <col min="11555" max="11555" width="18.42578125" style="50" bestFit="1" customWidth="1"/>
    <col min="11556" max="11556" width="5.7109375" style="50" customWidth="1"/>
    <col min="11557" max="11557" width="18.42578125" style="50" bestFit="1" customWidth="1"/>
    <col min="11558" max="11558" width="4.7109375" style="50" customWidth="1"/>
    <col min="11559" max="11559" width="23" style="50" bestFit="1" customWidth="1"/>
    <col min="11560" max="11560" width="10.85546875" style="50"/>
    <col min="11561" max="11561" width="18.42578125" style="50" bestFit="1" customWidth="1"/>
    <col min="11562" max="11562" width="16.140625" style="50" customWidth="1"/>
    <col min="11563" max="11776" width="10.85546875" style="50"/>
    <col min="11777" max="11777" width="42" style="50" customWidth="1"/>
    <col min="11778" max="11778" width="21.7109375" style="50" customWidth="1"/>
    <col min="11779" max="11790" width="20.7109375" style="50" customWidth="1"/>
    <col min="11791" max="11791" width="16.140625" style="50" customWidth="1"/>
    <col min="11792" max="11803" width="18.140625" style="50" customWidth="1"/>
    <col min="11804" max="11804" width="22.7109375" style="50" customWidth="1"/>
    <col min="11805" max="11805" width="19" style="50" customWidth="1"/>
    <col min="11806" max="11806" width="19.42578125" style="50" customWidth="1"/>
    <col min="11807" max="11807" width="6.28515625" style="50" bestFit="1" customWidth="1"/>
    <col min="11808" max="11808" width="22.85546875" style="50" customWidth="1"/>
    <col min="11809" max="11809" width="18.42578125" style="50" bestFit="1" customWidth="1"/>
    <col min="11810" max="11810" width="8.42578125" style="50" customWidth="1"/>
    <col min="11811" max="11811" width="18.42578125" style="50" bestFit="1" customWidth="1"/>
    <col min="11812" max="11812" width="5.7109375" style="50" customWidth="1"/>
    <col min="11813" max="11813" width="18.42578125" style="50" bestFit="1" customWidth="1"/>
    <col min="11814" max="11814" width="4.7109375" style="50" customWidth="1"/>
    <col min="11815" max="11815" width="23" style="50" bestFit="1" customWidth="1"/>
    <col min="11816" max="11816" width="10.85546875" style="50"/>
    <col min="11817" max="11817" width="18.42578125" style="50" bestFit="1" customWidth="1"/>
    <col min="11818" max="11818" width="16.140625" style="50" customWidth="1"/>
    <col min="11819" max="12032" width="10.85546875" style="50"/>
    <col min="12033" max="12033" width="42" style="50" customWidth="1"/>
    <col min="12034" max="12034" width="21.7109375" style="50" customWidth="1"/>
    <col min="12035" max="12046" width="20.7109375" style="50" customWidth="1"/>
    <col min="12047" max="12047" width="16.140625" style="50" customWidth="1"/>
    <col min="12048" max="12059" width="18.140625" style="50" customWidth="1"/>
    <col min="12060" max="12060" width="22.7109375" style="50" customWidth="1"/>
    <col min="12061" max="12061" width="19" style="50" customWidth="1"/>
    <col min="12062" max="12062" width="19.42578125" style="50" customWidth="1"/>
    <col min="12063" max="12063" width="6.28515625" style="50" bestFit="1" customWidth="1"/>
    <col min="12064" max="12064" width="22.85546875" style="50" customWidth="1"/>
    <col min="12065" max="12065" width="18.42578125" style="50" bestFit="1" customWidth="1"/>
    <col min="12066" max="12066" width="8.42578125" style="50" customWidth="1"/>
    <col min="12067" max="12067" width="18.42578125" style="50" bestFit="1" customWidth="1"/>
    <col min="12068" max="12068" width="5.7109375" style="50" customWidth="1"/>
    <col min="12069" max="12069" width="18.42578125" style="50" bestFit="1" customWidth="1"/>
    <col min="12070" max="12070" width="4.7109375" style="50" customWidth="1"/>
    <col min="12071" max="12071" width="23" style="50" bestFit="1" customWidth="1"/>
    <col min="12072" max="12072" width="10.85546875" style="50"/>
    <col min="12073" max="12073" width="18.42578125" style="50" bestFit="1" customWidth="1"/>
    <col min="12074" max="12074" width="16.140625" style="50" customWidth="1"/>
    <col min="12075" max="12288" width="10.85546875" style="50"/>
    <col min="12289" max="12289" width="42" style="50" customWidth="1"/>
    <col min="12290" max="12290" width="21.7109375" style="50" customWidth="1"/>
    <col min="12291" max="12302" width="20.7109375" style="50" customWidth="1"/>
    <col min="12303" max="12303" width="16.140625" style="50" customWidth="1"/>
    <col min="12304" max="12315" width="18.140625" style="50" customWidth="1"/>
    <col min="12316" max="12316" width="22.7109375" style="50" customWidth="1"/>
    <col min="12317" max="12317" width="19" style="50" customWidth="1"/>
    <col min="12318" max="12318" width="19.42578125" style="50" customWidth="1"/>
    <col min="12319" max="12319" width="6.28515625" style="50" bestFit="1" customWidth="1"/>
    <col min="12320" max="12320" width="22.85546875" style="50" customWidth="1"/>
    <col min="12321" max="12321" width="18.42578125" style="50" bestFit="1" customWidth="1"/>
    <col min="12322" max="12322" width="8.42578125" style="50" customWidth="1"/>
    <col min="12323" max="12323" width="18.42578125" style="50" bestFit="1" customWidth="1"/>
    <col min="12324" max="12324" width="5.7109375" style="50" customWidth="1"/>
    <col min="12325" max="12325" width="18.42578125" style="50" bestFit="1" customWidth="1"/>
    <col min="12326" max="12326" width="4.7109375" style="50" customWidth="1"/>
    <col min="12327" max="12327" width="23" style="50" bestFit="1" customWidth="1"/>
    <col min="12328" max="12328" width="10.85546875" style="50"/>
    <col min="12329" max="12329" width="18.42578125" style="50" bestFit="1" customWidth="1"/>
    <col min="12330" max="12330" width="16.140625" style="50" customWidth="1"/>
    <col min="12331" max="12544" width="10.85546875" style="50"/>
    <col min="12545" max="12545" width="42" style="50" customWidth="1"/>
    <col min="12546" max="12546" width="21.7109375" style="50" customWidth="1"/>
    <col min="12547" max="12558" width="20.7109375" style="50" customWidth="1"/>
    <col min="12559" max="12559" width="16.140625" style="50" customWidth="1"/>
    <col min="12560" max="12571" width="18.140625" style="50" customWidth="1"/>
    <col min="12572" max="12572" width="22.7109375" style="50" customWidth="1"/>
    <col min="12573" max="12573" width="19" style="50" customWidth="1"/>
    <col min="12574" max="12574" width="19.42578125" style="50" customWidth="1"/>
    <col min="12575" max="12575" width="6.28515625" style="50" bestFit="1" customWidth="1"/>
    <col min="12576" max="12576" width="22.85546875" style="50" customWidth="1"/>
    <col min="12577" max="12577" width="18.42578125" style="50" bestFit="1" customWidth="1"/>
    <col min="12578" max="12578" width="8.42578125" style="50" customWidth="1"/>
    <col min="12579" max="12579" width="18.42578125" style="50" bestFit="1" customWidth="1"/>
    <col min="12580" max="12580" width="5.7109375" style="50" customWidth="1"/>
    <col min="12581" max="12581" width="18.42578125" style="50" bestFit="1" customWidth="1"/>
    <col min="12582" max="12582" width="4.7109375" style="50" customWidth="1"/>
    <col min="12583" max="12583" width="23" style="50" bestFit="1" customWidth="1"/>
    <col min="12584" max="12584" width="10.85546875" style="50"/>
    <col min="12585" max="12585" width="18.42578125" style="50" bestFit="1" customWidth="1"/>
    <col min="12586" max="12586" width="16.140625" style="50" customWidth="1"/>
    <col min="12587" max="12800" width="10.85546875" style="50"/>
    <col min="12801" max="12801" width="42" style="50" customWidth="1"/>
    <col min="12802" max="12802" width="21.7109375" style="50" customWidth="1"/>
    <col min="12803" max="12814" width="20.7109375" style="50" customWidth="1"/>
    <col min="12815" max="12815" width="16.140625" style="50" customWidth="1"/>
    <col min="12816" max="12827" width="18.140625" style="50" customWidth="1"/>
    <col min="12828" max="12828" width="22.7109375" style="50" customWidth="1"/>
    <col min="12829" max="12829" width="19" style="50" customWidth="1"/>
    <col min="12830" max="12830" width="19.42578125" style="50" customWidth="1"/>
    <col min="12831" max="12831" width="6.28515625" style="50" bestFit="1" customWidth="1"/>
    <col min="12832" max="12832" width="22.85546875" style="50" customWidth="1"/>
    <col min="12833" max="12833" width="18.42578125" style="50" bestFit="1" customWidth="1"/>
    <col min="12834" max="12834" width="8.42578125" style="50" customWidth="1"/>
    <col min="12835" max="12835" width="18.42578125" style="50" bestFit="1" customWidth="1"/>
    <col min="12836" max="12836" width="5.7109375" style="50" customWidth="1"/>
    <col min="12837" max="12837" width="18.42578125" style="50" bestFit="1" customWidth="1"/>
    <col min="12838" max="12838" width="4.7109375" style="50" customWidth="1"/>
    <col min="12839" max="12839" width="23" style="50" bestFit="1" customWidth="1"/>
    <col min="12840" max="12840" width="10.85546875" style="50"/>
    <col min="12841" max="12841" width="18.42578125" style="50" bestFit="1" customWidth="1"/>
    <col min="12842" max="12842" width="16.140625" style="50" customWidth="1"/>
    <col min="12843" max="13056" width="10.85546875" style="50"/>
    <col min="13057" max="13057" width="42" style="50" customWidth="1"/>
    <col min="13058" max="13058" width="21.7109375" style="50" customWidth="1"/>
    <col min="13059" max="13070" width="20.7109375" style="50" customWidth="1"/>
    <col min="13071" max="13071" width="16.140625" style="50" customWidth="1"/>
    <col min="13072" max="13083" width="18.140625" style="50" customWidth="1"/>
    <col min="13084" max="13084" width="22.7109375" style="50" customWidth="1"/>
    <col min="13085" max="13085" width="19" style="50" customWidth="1"/>
    <col min="13086" max="13086" width="19.42578125" style="50" customWidth="1"/>
    <col min="13087" max="13087" width="6.28515625" style="50" bestFit="1" customWidth="1"/>
    <col min="13088" max="13088" width="22.85546875" style="50" customWidth="1"/>
    <col min="13089" max="13089" width="18.42578125" style="50" bestFit="1" customWidth="1"/>
    <col min="13090" max="13090" width="8.42578125" style="50" customWidth="1"/>
    <col min="13091" max="13091" width="18.42578125" style="50" bestFit="1" customWidth="1"/>
    <col min="13092" max="13092" width="5.7109375" style="50" customWidth="1"/>
    <col min="13093" max="13093" width="18.42578125" style="50" bestFit="1" customWidth="1"/>
    <col min="13094" max="13094" width="4.7109375" style="50" customWidth="1"/>
    <col min="13095" max="13095" width="23" style="50" bestFit="1" customWidth="1"/>
    <col min="13096" max="13096" width="10.85546875" style="50"/>
    <col min="13097" max="13097" width="18.42578125" style="50" bestFit="1" customWidth="1"/>
    <col min="13098" max="13098" width="16.140625" style="50" customWidth="1"/>
    <col min="13099" max="13312" width="10.85546875" style="50"/>
    <col min="13313" max="13313" width="42" style="50" customWidth="1"/>
    <col min="13314" max="13314" width="21.7109375" style="50" customWidth="1"/>
    <col min="13315" max="13326" width="20.7109375" style="50" customWidth="1"/>
    <col min="13327" max="13327" width="16.140625" style="50" customWidth="1"/>
    <col min="13328" max="13339" width="18.140625" style="50" customWidth="1"/>
    <col min="13340" max="13340" width="22.7109375" style="50" customWidth="1"/>
    <col min="13341" max="13341" width="19" style="50" customWidth="1"/>
    <col min="13342" max="13342" width="19.42578125" style="50" customWidth="1"/>
    <col min="13343" max="13343" width="6.28515625" style="50" bestFit="1" customWidth="1"/>
    <col min="13344" max="13344" width="22.85546875" style="50" customWidth="1"/>
    <col min="13345" max="13345" width="18.42578125" style="50" bestFit="1" customWidth="1"/>
    <col min="13346" max="13346" width="8.42578125" style="50" customWidth="1"/>
    <col min="13347" max="13347" width="18.42578125" style="50" bestFit="1" customWidth="1"/>
    <col min="13348" max="13348" width="5.7109375" style="50" customWidth="1"/>
    <col min="13349" max="13349" width="18.42578125" style="50" bestFit="1" customWidth="1"/>
    <col min="13350" max="13350" width="4.7109375" style="50" customWidth="1"/>
    <col min="13351" max="13351" width="23" style="50" bestFit="1" customWidth="1"/>
    <col min="13352" max="13352" width="10.85546875" style="50"/>
    <col min="13353" max="13353" width="18.42578125" style="50" bestFit="1" customWidth="1"/>
    <col min="13354" max="13354" width="16.140625" style="50" customWidth="1"/>
    <col min="13355" max="13568" width="10.85546875" style="50"/>
    <col min="13569" max="13569" width="42" style="50" customWidth="1"/>
    <col min="13570" max="13570" width="21.7109375" style="50" customWidth="1"/>
    <col min="13571" max="13582" width="20.7109375" style="50" customWidth="1"/>
    <col min="13583" max="13583" width="16.140625" style="50" customWidth="1"/>
    <col min="13584" max="13595" width="18.140625" style="50" customWidth="1"/>
    <col min="13596" max="13596" width="22.7109375" style="50" customWidth="1"/>
    <col min="13597" max="13597" width="19" style="50" customWidth="1"/>
    <col min="13598" max="13598" width="19.42578125" style="50" customWidth="1"/>
    <col min="13599" max="13599" width="6.28515625" style="50" bestFit="1" customWidth="1"/>
    <col min="13600" max="13600" width="22.85546875" style="50" customWidth="1"/>
    <col min="13601" max="13601" width="18.42578125" style="50" bestFit="1" customWidth="1"/>
    <col min="13602" max="13602" width="8.42578125" style="50" customWidth="1"/>
    <col min="13603" max="13603" width="18.42578125" style="50" bestFit="1" customWidth="1"/>
    <col min="13604" max="13604" width="5.7109375" style="50" customWidth="1"/>
    <col min="13605" max="13605" width="18.42578125" style="50" bestFit="1" customWidth="1"/>
    <col min="13606" max="13606" width="4.7109375" style="50" customWidth="1"/>
    <col min="13607" max="13607" width="23" style="50" bestFit="1" customWidth="1"/>
    <col min="13608" max="13608" width="10.85546875" style="50"/>
    <col min="13609" max="13609" width="18.42578125" style="50" bestFit="1" customWidth="1"/>
    <col min="13610" max="13610" width="16.140625" style="50" customWidth="1"/>
    <col min="13611" max="13824" width="10.85546875" style="50"/>
    <col min="13825" max="13825" width="42" style="50" customWidth="1"/>
    <col min="13826" max="13826" width="21.7109375" style="50" customWidth="1"/>
    <col min="13827" max="13838" width="20.7109375" style="50" customWidth="1"/>
    <col min="13839" max="13839" width="16.140625" style="50" customWidth="1"/>
    <col min="13840" max="13851" width="18.140625" style="50" customWidth="1"/>
    <col min="13852" max="13852" width="22.7109375" style="50" customWidth="1"/>
    <col min="13853" max="13853" width="19" style="50" customWidth="1"/>
    <col min="13854" max="13854" width="19.42578125" style="50" customWidth="1"/>
    <col min="13855" max="13855" width="6.28515625" style="50" bestFit="1" customWidth="1"/>
    <col min="13856" max="13856" width="22.85546875" style="50" customWidth="1"/>
    <col min="13857" max="13857" width="18.42578125" style="50" bestFit="1" customWidth="1"/>
    <col min="13858" max="13858" width="8.42578125" style="50" customWidth="1"/>
    <col min="13859" max="13859" width="18.42578125" style="50" bestFit="1" customWidth="1"/>
    <col min="13860" max="13860" width="5.7109375" style="50" customWidth="1"/>
    <col min="13861" max="13861" width="18.42578125" style="50" bestFit="1" customWidth="1"/>
    <col min="13862" max="13862" width="4.7109375" style="50" customWidth="1"/>
    <col min="13863" max="13863" width="23" style="50" bestFit="1" customWidth="1"/>
    <col min="13864" max="13864" width="10.85546875" style="50"/>
    <col min="13865" max="13865" width="18.42578125" style="50" bestFit="1" customWidth="1"/>
    <col min="13866" max="13866" width="16.140625" style="50" customWidth="1"/>
    <col min="13867" max="14080" width="10.85546875" style="50"/>
    <col min="14081" max="14081" width="42" style="50" customWidth="1"/>
    <col min="14082" max="14082" width="21.7109375" style="50" customWidth="1"/>
    <col min="14083" max="14094" width="20.7109375" style="50" customWidth="1"/>
    <col min="14095" max="14095" width="16.140625" style="50" customWidth="1"/>
    <col min="14096" max="14107" width="18.140625" style="50" customWidth="1"/>
    <col min="14108" max="14108" width="22.7109375" style="50" customWidth="1"/>
    <col min="14109" max="14109" width="19" style="50" customWidth="1"/>
    <col min="14110" max="14110" width="19.42578125" style="50" customWidth="1"/>
    <col min="14111" max="14111" width="6.28515625" style="50" bestFit="1" customWidth="1"/>
    <col min="14112" max="14112" width="22.85546875" style="50" customWidth="1"/>
    <col min="14113" max="14113" width="18.42578125" style="50" bestFit="1" customWidth="1"/>
    <col min="14114" max="14114" width="8.42578125" style="50" customWidth="1"/>
    <col min="14115" max="14115" width="18.42578125" style="50" bestFit="1" customWidth="1"/>
    <col min="14116" max="14116" width="5.7109375" style="50" customWidth="1"/>
    <col min="14117" max="14117" width="18.42578125" style="50" bestFit="1" customWidth="1"/>
    <col min="14118" max="14118" width="4.7109375" style="50" customWidth="1"/>
    <col min="14119" max="14119" width="23" style="50" bestFit="1" customWidth="1"/>
    <col min="14120" max="14120" width="10.85546875" style="50"/>
    <col min="14121" max="14121" width="18.42578125" style="50" bestFit="1" customWidth="1"/>
    <col min="14122" max="14122" width="16.140625" style="50" customWidth="1"/>
    <col min="14123" max="14336" width="10.85546875" style="50"/>
    <col min="14337" max="14337" width="42" style="50" customWidth="1"/>
    <col min="14338" max="14338" width="21.7109375" style="50" customWidth="1"/>
    <col min="14339" max="14350" width="20.7109375" style="50" customWidth="1"/>
    <col min="14351" max="14351" width="16.140625" style="50" customWidth="1"/>
    <col min="14352" max="14363" width="18.140625" style="50" customWidth="1"/>
    <col min="14364" max="14364" width="22.7109375" style="50" customWidth="1"/>
    <col min="14365" max="14365" width="19" style="50" customWidth="1"/>
    <col min="14366" max="14366" width="19.42578125" style="50" customWidth="1"/>
    <col min="14367" max="14367" width="6.28515625" style="50" bestFit="1" customWidth="1"/>
    <col min="14368" max="14368" width="22.85546875" style="50" customWidth="1"/>
    <col min="14369" max="14369" width="18.42578125" style="50" bestFit="1" customWidth="1"/>
    <col min="14370" max="14370" width="8.42578125" style="50" customWidth="1"/>
    <col min="14371" max="14371" width="18.42578125" style="50" bestFit="1" customWidth="1"/>
    <col min="14372" max="14372" width="5.7109375" style="50" customWidth="1"/>
    <col min="14373" max="14373" width="18.42578125" style="50" bestFit="1" customWidth="1"/>
    <col min="14374" max="14374" width="4.7109375" style="50" customWidth="1"/>
    <col min="14375" max="14375" width="23" style="50" bestFit="1" customWidth="1"/>
    <col min="14376" max="14376" width="10.85546875" style="50"/>
    <col min="14377" max="14377" width="18.42578125" style="50" bestFit="1" customWidth="1"/>
    <col min="14378" max="14378" width="16.140625" style="50" customWidth="1"/>
    <col min="14379" max="14592" width="10.85546875" style="50"/>
    <col min="14593" max="14593" width="42" style="50" customWidth="1"/>
    <col min="14594" max="14594" width="21.7109375" style="50" customWidth="1"/>
    <col min="14595" max="14606" width="20.7109375" style="50" customWidth="1"/>
    <col min="14607" max="14607" width="16.140625" style="50" customWidth="1"/>
    <col min="14608" max="14619" width="18.140625" style="50" customWidth="1"/>
    <col min="14620" max="14620" width="22.7109375" style="50" customWidth="1"/>
    <col min="14621" max="14621" width="19" style="50" customWidth="1"/>
    <col min="14622" max="14622" width="19.42578125" style="50" customWidth="1"/>
    <col min="14623" max="14623" width="6.28515625" style="50" bestFit="1" customWidth="1"/>
    <col min="14624" max="14624" width="22.85546875" style="50" customWidth="1"/>
    <col min="14625" max="14625" width="18.42578125" style="50" bestFit="1" customWidth="1"/>
    <col min="14626" max="14626" width="8.42578125" style="50" customWidth="1"/>
    <col min="14627" max="14627" width="18.42578125" style="50" bestFit="1" customWidth="1"/>
    <col min="14628" max="14628" width="5.7109375" style="50" customWidth="1"/>
    <col min="14629" max="14629" width="18.42578125" style="50" bestFit="1" customWidth="1"/>
    <col min="14630" max="14630" width="4.7109375" style="50" customWidth="1"/>
    <col min="14631" max="14631" width="23" style="50" bestFit="1" customWidth="1"/>
    <col min="14632" max="14632" width="10.85546875" style="50"/>
    <col min="14633" max="14633" width="18.42578125" style="50" bestFit="1" customWidth="1"/>
    <col min="14634" max="14634" width="16.140625" style="50" customWidth="1"/>
    <col min="14635" max="14848" width="10.85546875" style="50"/>
    <col min="14849" max="14849" width="42" style="50" customWidth="1"/>
    <col min="14850" max="14850" width="21.7109375" style="50" customWidth="1"/>
    <col min="14851" max="14862" width="20.7109375" style="50" customWidth="1"/>
    <col min="14863" max="14863" width="16.140625" style="50" customWidth="1"/>
    <col min="14864" max="14875" width="18.140625" style="50" customWidth="1"/>
    <col min="14876" max="14876" width="22.7109375" style="50" customWidth="1"/>
    <col min="14877" max="14877" width="19" style="50" customWidth="1"/>
    <col min="14878" max="14878" width="19.42578125" style="50" customWidth="1"/>
    <col min="14879" max="14879" width="6.28515625" style="50" bestFit="1" customWidth="1"/>
    <col min="14880" max="14880" width="22.85546875" style="50" customWidth="1"/>
    <col min="14881" max="14881" width="18.42578125" style="50" bestFit="1" customWidth="1"/>
    <col min="14882" max="14882" width="8.42578125" style="50" customWidth="1"/>
    <col min="14883" max="14883" width="18.42578125" style="50" bestFit="1" customWidth="1"/>
    <col min="14884" max="14884" width="5.7109375" style="50" customWidth="1"/>
    <col min="14885" max="14885" width="18.42578125" style="50" bestFit="1" customWidth="1"/>
    <col min="14886" max="14886" width="4.7109375" style="50" customWidth="1"/>
    <col min="14887" max="14887" width="23" style="50" bestFit="1" customWidth="1"/>
    <col min="14888" max="14888" width="10.85546875" style="50"/>
    <col min="14889" max="14889" width="18.42578125" style="50" bestFit="1" customWidth="1"/>
    <col min="14890" max="14890" width="16.140625" style="50" customWidth="1"/>
    <col min="14891" max="15104" width="10.85546875" style="50"/>
    <col min="15105" max="15105" width="42" style="50" customWidth="1"/>
    <col min="15106" max="15106" width="21.7109375" style="50" customWidth="1"/>
    <col min="15107" max="15118" width="20.7109375" style="50" customWidth="1"/>
    <col min="15119" max="15119" width="16.140625" style="50" customWidth="1"/>
    <col min="15120" max="15131" width="18.140625" style="50" customWidth="1"/>
    <col min="15132" max="15132" width="22.7109375" style="50" customWidth="1"/>
    <col min="15133" max="15133" width="19" style="50" customWidth="1"/>
    <col min="15134" max="15134" width="19.42578125" style="50" customWidth="1"/>
    <col min="15135" max="15135" width="6.28515625" style="50" bestFit="1" customWidth="1"/>
    <col min="15136" max="15136" width="22.85546875" style="50" customWidth="1"/>
    <col min="15137" max="15137" width="18.42578125" style="50" bestFit="1" customWidth="1"/>
    <col min="15138" max="15138" width="8.42578125" style="50" customWidth="1"/>
    <col min="15139" max="15139" width="18.42578125" style="50" bestFit="1" customWidth="1"/>
    <col min="15140" max="15140" width="5.7109375" style="50" customWidth="1"/>
    <col min="15141" max="15141" width="18.42578125" style="50" bestFit="1" customWidth="1"/>
    <col min="15142" max="15142" width="4.7109375" style="50" customWidth="1"/>
    <col min="15143" max="15143" width="23" style="50" bestFit="1" customWidth="1"/>
    <col min="15144" max="15144" width="10.85546875" style="50"/>
    <col min="15145" max="15145" width="18.42578125" style="50" bestFit="1" customWidth="1"/>
    <col min="15146" max="15146" width="16.140625" style="50" customWidth="1"/>
    <col min="15147" max="15360" width="10.85546875" style="50"/>
    <col min="15361" max="15361" width="42" style="50" customWidth="1"/>
    <col min="15362" max="15362" width="21.7109375" style="50" customWidth="1"/>
    <col min="15363" max="15374" width="20.7109375" style="50" customWidth="1"/>
    <col min="15375" max="15375" width="16.140625" style="50" customWidth="1"/>
    <col min="15376" max="15387" width="18.140625" style="50" customWidth="1"/>
    <col min="15388" max="15388" width="22.7109375" style="50" customWidth="1"/>
    <col min="15389" max="15389" width="19" style="50" customWidth="1"/>
    <col min="15390" max="15390" width="19.42578125" style="50" customWidth="1"/>
    <col min="15391" max="15391" width="6.28515625" style="50" bestFit="1" customWidth="1"/>
    <col min="15392" max="15392" width="22.85546875" style="50" customWidth="1"/>
    <col min="15393" max="15393" width="18.42578125" style="50" bestFit="1" customWidth="1"/>
    <col min="15394" max="15394" width="8.42578125" style="50" customWidth="1"/>
    <col min="15395" max="15395" width="18.42578125" style="50" bestFit="1" customWidth="1"/>
    <col min="15396" max="15396" width="5.7109375" style="50" customWidth="1"/>
    <col min="15397" max="15397" width="18.42578125" style="50" bestFit="1" customWidth="1"/>
    <col min="15398" max="15398" width="4.7109375" style="50" customWidth="1"/>
    <col min="15399" max="15399" width="23" style="50" bestFit="1" customWidth="1"/>
    <col min="15400" max="15400" width="10.85546875" style="50"/>
    <col min="15401" max="15401" width="18.42578125" style="50" bestFit="1" customWidth="1"/>
    <col min="15402" max="15402" width="16.140625" style="50" customWidth="1"/>
    <col min="15403" max="15616" width="10.85546875" style="50"/>
    <col min="15617" max="15617" width="42" style="50" customWidth="1"/>
    <col min="15618" max="15618" width="21.7109375" style="50" customWidth="1"/>
    <col min="15619" max="15630" width="20.7109375" style="50" customWidth="1"/>
    <col min="15631" max="15631" width="16.140625" style="50" customWidth="1"/>
    <col min="15632" max="15643" width="18.140625" style="50" customWidth="1"/>
    <col min="15644" max="15644" width="22.7109375" style="50" customWidth="1"/>
    <col min="15645" max="15645" width="19" style="50" customWidth="1"/>
    <col min="15646" max="15646" width="19.42578125" style="50" customWidth="1"/>
    <col min="15647" max="15647" width="6.28515625" style="50" bestFit="1" customWidth="1"/>
    <col min="15648" max="15648" width="22.85546875" style="50" customWidth="1"/>
    <col min="15649" max="15649" width="18.42578125" style="50" bestFit="1" customWidth="1"/>
    <col min="15650" max="15650" width="8.42578125" style="50" customWidth="1"/>
    <col min="15651" max="15651" width="18.42578125" style="50" bestFit="1" customWidth="1"/>
    <col min="15652" max="15652" width="5.7109375" style="50" customWidth="1"/>
    <col min="15653" max="15653" width="18.42578125" style="50" bestFit="1" customWidth="1"/>
    <col min="15654" max="15654" width="4.7109375" style="50" customWidth="1"/>
    <col min="15655" max="15655" width="23" style="50" bestFit="1" customWidth="1"/>
    <col min="15656" max="15656" width="10.85546875" style="50"/>
    <col min="15657" max="15657" width="18.42578125" style="50" bestFit="1" customWidth="1"/>
    <col min="15658" max="15658" width="16.140625" style="50" customWidth="1"/>
    <col min="15659" max="15872" width="10.85546875" style="50"/>
    <col min="15873" max="15873" width="42" style="50" customWidth="1"/>
    <col min="15874" max="15874" width="21.7109375" style="50" customWidth="1"/>
    <col min="15875" max="15886" width="20.7109375" style="50" customWidth="1"/>
    <col min="15887" max="15887" width="16.140625" style="50" customWidth="1"/>
    <col min="15888" max="15899" width="18.140625" style="50" customWidth="1"/>
    <col min="15900" max="15900" width="22.7109375" style="50" customWidth="1"/>
    <col min="15901" max="15901" width="19" style="50" customWidth="1"/>
    <col min="15902" max="15902" width="19.42578125" style="50" customWidth="1"/>
    <col min="15903" max="15903" width="6.28515625" style="50" bestFit="1" customWidth="1"/>
    <col min="15904" max="15904" width="22.85546875" style="50" customWidth="1"/>
    <col min="15905" max="15905" width="18.42578125" style="50" bestFit="1" customWidth="1"/>
    <col min="15906" max="15906" width="8.42578125" style="50" customWidth="1"/>
    <col min="15907" max="15907" width="18.42578125" style="50" bestFit="1" customWidth="1"/>
    <col min="15908" max="15908" width="5.7109375" style="50" customWidth="1"/>
    <col min="15909" max="15909" width="18.42578125" style="50" bestFit="1" customWidth="1"/>
    <col min="15910" max="15910" width="4.7109375" style="50" customWidth="1"/>
    <col min="15911" max="15911" width="23" style="50" bestFit="1" customWidth="1"/>
    <col min="15912" max="15912" width="10.85546875" style="50"/>
    <col min="15913" max="15913" width="18.42578125" style="50" bestFit="1" customWidth="1"/>
    <col min="15914" max="15914" width="16.140625" style="50" customWidth="1"/>
    <col min="15915" max="16128" width="10.85546875" style="50"/>
    <col min="16129" max="16129" width="42" style="50" customWidth="1"/>
    <col min="16130" max="16130" width="21.7109375" style="50" customWidth="1"/>
    <col min="16131" max="16142" width="20.7109375" style="50" customWidth="1"/>
    <col min="16143" max="16143" width="16.140625" style="50" customWidth="1"/>
    <col min="16144" max="16155" width="18.140625" style="50" customWidth="1"/>
    <col min="16156" max="16156" width="22.7109375" style="50" customWidth="1"/>
    <col min="16157" max="16157" width="19" style="50" customWidth="1"/>
    <col min="16158" max="16158" width="19.42578125" style="50" customWidth="1"/>
    <col min="16159" max="16159" width="6.28515625" style="50" bestFit="1" customWidth="1"/>
    <col min="16160" max="16160" width="22.85546875" style="50" customWidth="1"/>
    <col min="16161" max="16161" width="18.42578125" style="50" bestFit="1" customWidth="1"/>
    <col min="16162" max="16162" width="8.42578125" style="50" customWidth="1"/>
    <col min="16163" max="16163" width="18.42578125" style="50" bestFit="1" customWidth="1"/>
    <col min="16164" max="16164" width="5.7109375" style="50" customWidth="1"/>
    <col min="16165" max="16165" width="18.42578125" style="50" bestFit="1" customWidth="1"/>
    <col min="16166" max="16166" width="4.7109375" style="50" customWidth="1"/>
    <col min="16167" max="16167" width="23" style="50" bestFit="1" customWidth="1"/>
    <col min="16168" max="16168" width="10.85546875" style="50"/>
    <col min="16169" max="16169" width="18.42578125" style="50" bestFit="1" customWidth="1"/>
    <col min="16170" max="16170" width="16.140625" style="50" customWidth="1"/>
    <col min="16171" max="16384" width="10.85546875" style="50"/>
  </cols>
  <sheetData>
    <row r="1" spans="1:30" ht="32.25" customHeight="1">
      <c r="A1" s="638"/>
      <c r="B1" s="641" t="s">
        <v>0</v>
      </c>
      <c r="C1" s="642"/>
      <c r="D1" s="642"/>
      <c r="E1" s="642"/>
      <c r="F1" s="642"/>
      <c r="G1" s="642"/>
      <c r="H1" s="642"/>
      <c r="I1" s="642"/>
      <c r="J1" s="642"/>
      <c r="K1" s="642"/>
      <c r="L1" s="642"/>
      <c r="M1" s="642"/>
      <c r="N1" s="642"/>
      <c r="O1" s="642"/>
      <c r="P1" s="642"/>
      <c r="Q1" s="642"/>
      <c r="R1" s="642"/>
      <c r="S1" s="642"/>
      <c r="T1" s="642"/>
      <c r="U1" s="642"/>
      <c r="V1" s="642"/>
      <c r="W1" s="642"/>
      <c r="X1" s="642"/>
      <c r="Y1" s="642"/>
      <c r="Z1" s="642"/>
      <c r="AA1" s="643"/>
      <c r="AB1" s="644" t="s">
        <v>1</v>
      </c>
      <c r="AC1" s="645"/>
      <c r="AD1" s="646"/>
    </row>
    <row r="2" spans="1:30" ht="30.75" customHeight="1">
      <c r="A2" s="639"/>
      <c r="B2" s="647" t="s">
        <v>2</v>
      </c>
      <c r="C2" s="648"/>
      <c r="D2" s="648"/>
      <c r="E2" s="648"/>
      <c r="F2" s="648"/>
      <c r="G2" s="648"/>
      <c r="H2" s="648"/>
      <c r="I2" s="648"/>
      <c r="J2" s="648"/>
      <c r="K2" s="648"/>
      <c r="L2" s="648"/>
      <c r="M2" s="648"/>
      <c r="N2" s="648"/>
      <c r="O2" s="648"/>
      <c r="P2" s="648"/>
      <c r="Q2" s="648"/>
      <c r="R2" s="648"/>
      <c r="S2" s="648"/>
      <c r="T2" s="648"/>
      <c r="U2" s="648"/>
      <c r="V2" s="648"/>
      <c r="W2" s="648"/>
      <c r="X2" s="648"/>
      <c r="Y2" s="648"/>
      <c r="Z2" s="648"/>
      <c r="AA2" s="649"/>
      <c r="AB2" s="650" t="s">
        <v>3</v>
      </c>
      <c r="AC2" s="651"/>
      <c r="AD2" s="652"/>
    </row>
    <row r="3" spans="1:30" ht="24" customHeight="1">
      <c r="A3" s="639"/>
      <c r="B3" s="618" t="s">
        <v>4</v>
      </c>
      <c r="C3" s="619"/>
      <c r="D3" s="619"/>
      <c r="E3" s="619"/>
      <c r="F3" s="619"/>
      <c r="G3" s="619"/>
      <c r="H3" s="619"/>
      <c r="I3" s="619"/>
      <c r="J3" s="619"/>
      <c r="K3" s="619"/>
      <c r="L3" s="619"/>
      <c r="M3" s="619"/>
      <c r="N3" s="619"/>
      <c r="O3" s="619"/>
      <c r="P3" s="619"/>
      <c r="Q3" s="619"/>
      <c r="R3" s="619"/>
      <c r="S3" s="619"/>
      <c r="T3" s="619"/>
      <c r="U3" s="619"/>
      <c r="V3" s="619"/>
      <c r="W3" s="619"/>
      <c r="X3" s="619"/>
      <c r="Y3" s="619"/>
      <c r="Z3" s="619"/>
      <c r="AA3" s="620"/>
      <c r="AB3" s="650" t="s">
        <v>5</v>
      </c>
      <c r="AC3" s="651"/>
      <c r="AD3" s="652"/>
    </row>
    <row r="4" spans="1:30" ht="21.95" customHeight="1" thickBot="1">
      <c r="A4" s="640"/>
      <c r="B4" s="621"/>
      <c r="C4" s="622"/>
      <c r="D4" s="622"/>
      <c r="E4" s="622"/>
      <c r="F4" s="622"/>
      <c r="G4" s="622"/>
      <c r="H4" s="622"/>
      <c r="I4" s="622"/>
      <c r="J4" s="622"/>
      <c r="K4" s="622"/>
      <c r="L4" s="622"/>
      <c r="M4" s="622"/>
      <c r="N4" s="622"/>
      <c r="O4" s="622"/>
      <c r="P4" s="622"/>
      <c r="Q4" s="622"/>
      <c r="R4" s="622"/>
      <c r="S4" s="622"/>
      <c r="T4" s="622"/>
      <c r="U4" s="622"/>
      <c r="V4" s="622"/>
      <c r="W4" s="622"/>
      <c r="X4" s="622"/>
      <c r="Y4" s="622"/>
      <c r="Z4" s="622"/>
      <c r="AA4" s="623"/>
      <c r="AB4" s="653" t="s">
        <v>6</v>
      </c>
      <c r="AC4" s="654"/>
      <c r="AD4" s="655"/>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c r="A7" s="609" t="s">
        <v>7</v>
      </c>
      <c r="B7" s="610"/>
      <c r="C7" s="624" t="s">
        <v>29</v>
      </c>
      <c r="D7" s="609" t="s">
        <v>8</v>
      </c>
      <c r="E7" s="627"/>
      <c r="F7" s="627"/>
      <c r="G7" s="627"/>
      <c r="H7" s="610"/>
      <c r="I7" s="630">
        <v>44595</v>
      </c>
      <c r="J7" s="631"/>
      <c r="K7" s="609" t="s">
        <v>9</v>
      </c>
      <c r="L7" s="610"/>
      <c r="M7" s="636" t="s">
        <v>10</v>
      </c>
      <c r="N7" s="637"/>
      <c r="O7" s="599"/>
      <c r="P7" s="600"/>
      <c r="Q7" s="54"/>
      <c r="R7" s="54"/>
      <c r="S7" s="54"/>
      <c r="T7" s="54"/>
      <c r="U7" s="54"/>
      <c r="V7" s="54"/>
      <c r="W7" s="54"/>
      <c r="X7" s="54"/>
      <c r="Y7" s="54"/>
      <c r="Z7" s="55"/>
      <c r="AA7" s="54"/>
      <c r="AB7" s="54"/>
      <c r="AC7" s="60"/>
      <c r="AD7" s="61"/>
    </row>
    <row r="8" spans="1:30">
      <c r="A8" s="611"/>
      <c r="B8" s="612"/>
      <c r="C8" s="625"/>
      <c r="D8" s="611"/>
      <c r="E8" s="628"/>
      <c r="F8" s="628"/>
      <c r="G8" s="628"/>
      <c r="H8" s="612"/>
      <c r="I8" s="632"/>
      <c r="J8" s="633"/>
      <c r="K8" s="611"/>
      <c r="L8" s="612"/>
      <c r="M8" s="601" t="s">
        <v>12</v>
      </c>
      <c r="N8" s="602"/>
      <c r="O8" s="603"/>
      <c r="P8" s="604"/>
      <c r="Q8" s="54"/>
      <c r="R8" s="54"/>
      <c r="S8" s="54"/>
      <c r="T8" s="54"/>
      <c r="U8" s="54"/>
      <c r="V8" s="54"/>
      <c r="W8" s="54"/>
      <c r="X8" s="54"/>
      <c r="Y8" s="54"/>
      <c r="Z8" s="55"/>
      <c r="AA8" s="54"/>
      <c r="AB8" s="54"/>
      <c r="AC8" s="60"/>
      <c r="AD8" s="61"/>
    </row>
    <row r="9" spans="1:30" ht="15.75" thickBot="1">
      <c r="A9" s="613"/>
      <c r="B9" s="614"/>
      <c r="C9" s="626"/>
      <c r="D9" s="613"/>
      <c r="E9" s="629"/>
      <c r="F9" s="629"/>
      <c r="G9" s="629"/>
      <c r="H9" s="614"/>
      <c r="I9" s="634"/>
      <c r="J9" s="635"/>
      <c r="K9" s="613"/>
      <c r="L9" s="614"/>
      <c r="M9" s="605" t="s">
        <v>13</v>
      </c>
      <c r="N9" s="606"/>
      <c r="O9" s="607" t="s">
        <v>11</v>
      </c>
      <c r="P9" s="608"/>
      <c r="Q9" s="54"/>
      <c r="R9" s="54"/>
      <c r="S9" s="54"/>
      <c r="T9" s="54"/>
      <c r="U9" s="54"/>
      <c r="V9" s="54"/>
      <c r="W9" s="54"/>
      <c r="X9" s="54"/>
      <c r="Y9" s="54"/>
      <c r="Z9" s="55"/>
      <c r="AA9" s="54"/>
      <c r="AB9" s="54"/>
      <c r="AC9" s="60"/>
      <c r="AD9" s="61"/>
    </row>
    <row r="10" spans="1:30" ht="15" customHeight="1" thickBot="1">
      <c r="A10" s="161"/>
      <c r="B10" s="454"/>
      <c r="C10" s="454"/>
      <c r="D10" s="65"/>
      <c r="E10" s="65"/>
      <c r="F10" s="65"/>
      <c r="G10" s="65"/>
      <c r="H10" s="65"/>
      <c r="I10" s="455"/>
      <c r="J10" s="455"/>
      <c r="K10" s="65"/>
      <c r="L10" s="65"/>
      <c r="M10" s="159"/>
      <c r="N10" s="159"/>
      <c r="O10" s="160"/>
      <c r="P10" s="160"/>
      <c r="Q10" s="454"/>
      <c r="R10" s="454"/>
      <c r="S10" s="454"/>
      <c r="T10" s="454"/>
      <c r="U10" s="454"/>
      <c r="V10" s="454"/>
      <c r="W10" s="454"/>
      <c r="X10" s="454"/>
      <c r="Y10" s="454"/>
      <c r="Z10" s="456"/>
      <c r="AA10" s="454"/>
      <c r="AB10" s="454"/>
      <c r="AC10" s="457"/>
      <c r="AD10" s="162"/>
    </row>
    <row r="11" spans="1:30" ht="15" customHeight="1">
      <c r="A11" s="609" t="s">
        <v>14</v>
      </c>
      <c r="B11" s="610"/>
      <c r="C11" s="615" t="s">
        <v>15</v>
      </c>
      <c r="D11" s="616"/>
      <c r="E11" s="616"/>
      <c r="F11" s="616"/>
      <c r="G11" s="616"/>
      <c r="H11" s="616"/>
      <c r="I11" s="616"/>
      <c r="J11" s="616"/>
      <c r="K11" s="616"/>
      <c r="L11" s="616"/>
      <c r="M11" s="616"/>
      <c r="N11" s="616"/>
      <c r="O11" s="616"/>
      <c r="P11" s="616"/>
      <c r="Q11" s="616"/>
      <c r="R11" s="616"/>
      <c r="S11" s="616"/>
      <c r="T11" s="616"/>
      <c r="U11" s="616"/>
      <c r="V11" s="616"/>
      <c r="W11" s="616"/>
      <c r="X11" s="616"/>
      <c r="Y11" s="616"/>
      <c r="Z11" s="616"/>
      <c r="AA11" s="616"/>
      <c r="AB11" s="616"/>
      <c r="AC11" s="616"/>
      <c r="AD11" s="617"/>
    </row>
    <row r="12" spans="1:30" ht="15" customHeight="1">
      <c r="A12" s="611"/>
      <c r="B12" s="612"/>
      <c r="C12" s="618"/>
      <c r="D12" s="619"/>
      <c r="E12" s="619"/>
      <c r="F12" s="619"/>
      <c r="G12" s="619"/>
      <c r="H12" s="619"/>
      <c r="I12" s="619"/>
      <c r="J12" s="619"/>
      <c r="K12" s="619"/>
      <c r="L12" s="619"/>
      <c r="M12" s="619"/>
      <c r="N12" s="619"/>
      <c r="O12" s="619"/>
      <c r="P12" s="619"/>
      <c r="Q12" s="619"/>
      <c r="R12" s="619"/>
      <c r="S12" s="619"/>
      <c r="T12" s="619"/>
      <c r="U12" s="619"/>
      <c r="V12" s="619"/>
      <c r="W12" s="619"/>
      <c r="X12" s="619"/>
      <c r="Y12" s="619"/>
      <c r="Z12" s="619"/>
      <c r="AA12" s="619"/>
      <c r="AB12" s="619"/>
      <c r="AC12" s="619"/>
      <c r="AD12" s="620"/>
    </row>
    <row r="13" spans="1:30" ht="15" customHeight="1" thickBot="1">
      <c r="A13" s="613"/>
      <c r="B13" s="614"/>
      <c r="C13" s="621"/>
      <c r="D13" s="622"/>
      <c r="E13" s="622"/>
      <c r="F13" s="622"/>
      <c r="G13" s="622"/>
      <c r="H13" s="622"/>
      <c r="I13" s="622"/>
      <c r="J13" s="622"/>
      <c r="K13" s="622"/>
      <c r="L13" s="622"/>
      <c r="M13" s="622"/>
      <c r="N13" s="622"/>
      <c r="O13" s="622"/>
      <c r="P13" s="622"/>
      <c r="Q13" s="622"/>
      <c r="R13" s="622"/>
      <c r="S13" s="622"/>
      <c r="T13" s="622"/>
      <c r="U13" s="622"/>
      <c r="V13" s="622"/>
      <c r="W13" s="622"/>
      <c r="X13" s="622"/>
      <c r="Y13" s="622"/>
      <c r="Z13" s="622"/>
      <c r="AA13" s="622"/>
      <c r="AB13" s="622"/>
      <c r="AC13" s="622"/>
      <c r="AD13" s="623"/>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586" t="s">
        <v>16</v>
      </c>
      <c r="B15" s="587"/>
      <c r="C15" s="593" t="s">
        <v>17</v>
      </c>
      <c r="D15" s="594"/>
      <c r="E15" s="594"/>
      <c r="F15" s="594"/>
      <c r="G15" s="594"/>
      <c r="H15" s="594"/>
      <c r="I15" s="594"/>
      <c r="J15" s="594"/>
      <c r="K15" s="595"/>
      <c r="L15" s="577" t="s">
        <v>18</v>
      </c>
      <c r="M15" s="578"/>
      <c r="N15" s="578"/>
      <c r="O15" s="578"/>
      <c r="P15" s="578"/>
      <c r="Q15" s="579"/>
      <c r="R15" s="596" t="s">
        <v>19</v>
      </c>
      <c r="S15" s="597"/>
      <c r="T15" s="597"/>
      <c r="U15" s="597"/>
      <c r="V15" s="597"/>
      <c r="W15" s="597"/>
      <c r="X15" s="598"/>
      <c r="Y15" s="577" t="s">
        <v>20</v>
      </c>
      <c r="Z15" s="579"/>
      <c r="AA15" s="593" t="s">
        <v>21</v>
      </c>
      <c r="AB15" s="594"/>
      <c r="AC15" s="594"/>
      <c r="AD15" s="595"/>
    </row>
    <row r="16" spans="1:30" ht="9" customHeight="1" thickBot="1">
      <c r="A16" s="59"/>
      <c r="B16" s="54"/>
      <c r="C16" s="585"/>
      <c r="D16" s="585"/>
      <c r="E16" s="585"/>
      <c r="F16" s="585"/>
      <c r="G16" s="585"/>
      <c r="H16" s="585"/>
      <c r="I16" s="585"/>
      <c r="J16" s="585"/>
      <c r="K16" s="585"/>
      <c r="L16" s="585"/>
      <c r="M16" s="585"/>
      <c r="N16" s="585"/>
      <c r="O16" s="585"/>
      <c r="P16" s="585"/>
      <c r="Q16" s="585"/>
      <c r="R16" s="585"/>
      <c r="S16" s="585"/>
      <c r="T16" s="585"/>
      <c r="U16" s="585"/>
      <c r="V16" s="585"/>
      <c r="W16" s="585"/>
      <c r="X16" s="585"/>
      <c r="Y16" s="585"/>
      <c r="Z16" s="585"/>
      <c r="AA16" s="585"/>
      <c r="AB16" s="585"/>
      <c r="AC16" s="73"/>
      <c r="AD16" s="74"/>
    </row>
    <row r="17" spans="1:41" s="76" customFormat="1" ht="37.5" customHeight="1" thickBot="1">
      <c r="A17" s="586" t="s">
        <v>22</v>
      </c>
      <c r="B17" s="587"/>
      <c r="C17" s="588" t="s">
        <v>23</v>
      </c>
      <c r="D17" s="589"/>
      <c r="E17" s="589"/>
      <c r="F17" s="589"/>
      <c r="G17" s="589"/>
      <c r="H17" s="589"/>
      <c r="I17" s="589"/>
      <c r="J17" s="589"/>
      <c r="K17" s="589"/>
      <c r="L17" s="589"/>
      <c r="M17" s="589"/>
      <c r="N17" s="589"/>
      <c r="O17" s="589"/>
      <c r="P17" s="589"/>
      <c r="Q17" s="590"/>
      <c r="R17" s="577" t="s">
        <v>24</v>
      </c>
      <c r="S17" s="578"/>
      <c r="T17" s="578"/>
      <c r="U17" s="578"/>
      <c r="V17" s="579"/>
      <c r="W17" s="591">
        <v>7000</v>
      </c>
      <c r="X17" s="592"/>
      <c r="Y17" s="578" t="s">
        <v>25</v>
      </c>
      <c r="Z17" s="578"/>
      <c r="AA17" s="578"/>
      <c r="AB17" s="579"/>
      <c r="AC17" s="575">
        <v>0.3</v>
      </c>
      <c r="AD17" s="576"/>
      <c r="AF17" s="481"/>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577" t="s">
        <v>26</v>
      </c>
      <c r="B19" s="578"/>
      <c r="C19" s="578"/>
      <c r="D19" s="578"/>
      <c r="E19" s="578"/>
      <c r="F19" s="578"/>
      <c r="G19" s="578"/>
      <c r="H19" s="578"/>
      <c r="I19" s="578"/>
      <c r="J19" s="578"/>
      <c r="K19" s="578"/>
      <c r="L19" s="578"/>
      <c r="M19" s="578"/>
      <c r="N19" s="578"/>
      <c r="O19" s="578"/>
      <c r="P19" s="578"/>
      <c r="Q19" s="578"/>
      <c r="R19" s="578"/>
      <c r="S19" s="578"/>
      <c r="T19" s="578"/>
      <c r="U19" s="578"/>
      <c r="V19" s="578"/>
      <c r="W19" s="578"/>
      <c r="X19" s="578"/>
      <c r="Y19" s="578"/>
      <c r="Z19" s="578"/>
      <c r="AA19" s="578"/>
      <c r="AB19" s="578"/>
      <c r="AC19" s="578"/>
      <c r="AD19" s="579"/>
      <c r="AE19" s="83"/>
      <c r="AF19" s="482"/>
    </row>
    <row r="20" spans="1:41" ht="32.1" customHeight="1" thickBot="1">
      <c r="A20" s="82"/>
      <c r="B20" s="60"/>
      <c r="C20" s="580" t="s">
        <v>27</v>
      </c>
      <c r="D20" s="581"/>
      <c r="E20" s="581"/>
      <c r="F20" s="581"/>
      <c r="G20" s="581"/>
      <c r="H20" s="581"/>
      <c r="I20" s="581"/>
      <c r="J20" s="581"/>
      <c r="K20" s="581"/>
      <c r="L20" s="581"/>
      <c r="M20" s="581"/>
      <c r="N20" s="581"/>
      <c r="O20" s="581"/>
      <c r="P20" s="582"/>
      <c r="Q20" s="580" t="s">
        <v>28</v>
      </c>
      <c r="R20" s="581"/>
      <c r="S20" s="581"/>
      <c r="T20" s="581"/>
      <c r="U20" s="581"/>
      <c r="V20" s="581"/>
      <c r="W20" s="581"/>
      <c r="X20" s="581"/>
      <c r="Y20" s="581"/>
      <c r="Z20" s="581"/>
      <c r="AA20" s="581"/>
      <c r="AB20" s="581"/>
      <c r="AC20" s="581"/>
      <c r="AD20" s="582"/>
      <c r="AE20" s="83"/>
      <c r="AF20" s="482">
        <v>2401870787.1599998</v>
      </c>
    </row>
    <row r="21" spans="1:41" ht="32.1" customHeight="1" thickBot="1">
      <c r="A21" s="392"/>
      <c r="B21" s="56"/>
      <c r="C21" s="442" t="s">
        <v>29</v>
      </c>
      <c r="D21" s="443" t="s">
        <v>30</v>
      </c>
      <c r="E21" s="443" t="s">
        <v>31</v>
      </c>
      <c r="F21" s="443" t="s">
        <v>32</v>
      </c>
      <c r="G21" s="443" t="s">
        <v>33</v>
      </c>
      <c r="H21" s="443" t="s">
        <v>34</v>
      </c>
      <c r="I21" s="443" t="s">
        <v>35</v>
      </c>
      <c r="J21" s="443" t="s">
        <v>36</v>
      </c>
      <c r="K21" s="443" t="s">
        <v>37</v>
      </c>
      <c r="L21" s="443" t="s">
        <v>38</v>
      </c>
      <c r="M21" s="443" t="s">
        <v>39</v>
      </c>
      <c r="N21" s="443" t="s">
        <v>40</v>
      </c>
      <c r="O21" s="443" t="s">
        <v>41</v>
      </c>
      <c r="P21" s="444" t="s">
        <v>42</v>
      </c>
      <c r="Q21" s="442" t="s">
        <v>29</v>
      </c>
      <c r="R21" s="443" t="s">
        <v>30</v>
      </c>
      <c r="S21" s="443" t="s">
        <v>31</v>
      </c>
      <c r="T21" s="443" t="s">
        <v>32</v>
      </c>
      <c r="U21" s="443" t="s">
        <v>33</v>
      </c>
      <c r="V21" s="443" t="s">
        <v>34</v>
      </c>
      <c r="W21" s="443" t="s">
        <v>35</v>
      </c>
      <c r="X21" s="443" t="s">
        <v>36</v>
      </c>
      <c r="Y21" s="443" t="s">
        <v>37</v>
      </c>
      <c r="Z21" s="443" t="s">
        <v>38</v>
      </c>
      <c r="AA21" s="443" t="s">
        <v>39</v>
      </c>
      <c r="AB21" s="443" t="s">
        <v>40</v>
      </c>
      <c r="AC21" s="443" t="s">
        <v>41</v>
      </c>
      <c r="AD21" s="444" t="s">
        <v>42</v>
      </c>
      <c r="AE21" s="3"/>
      <c r="AF21" s="483"/>
    </row>
    <row r="22" spans="1:41" ht="32.1" customHeight="1">
      <c r="A22" s="583" t="s">
        <v>43</v>
      </c>
      <c r="B22" s="584"/>
      <c r="C22" s="168">
        <v>0</v>
      </c>
      <c r="D22" s="167">
        <v>0</v>
      </c>
      <c r="E22" s="167">
        <v>0</v>
      </c>
      <c r="F22" s="167">
        <v>0</v>
      </c>
      <c r="G22" s="167">
        <v>0</v>
      </c>
      <c r="H22" s="167">
        <v>0</v>
      </c>
      <c r="I22" s="167">
        <v>0</v>
      </c>
      <c r="J22" s="167">
        <v>0</v>
      </c>
      <c r="K22" s="167">
        <v>0</v>
      </c>
      <c r="L22" s="167">
        <v>0</v>
      </c>
      <c r="M22" s="167">
        <v>0</v>
      </c>
      <c r="N22" s="167">
        <v>0</v>
      </c>
      <c r="O22" s="167">
        <f>SUM(C22:N22)</f>
        <v>0</v>
      </c>
      <c r="P22" s="393"/>
      <c r="Q22" s="379">
        <v>1390832000</v>
      </c>
      <c r="R22" s="167">
        <v>0</v>
      </c>
      <c r="S22" s="380">
        <v>5539000</v>
      </c>
      <c r="T22" s="380">
        <f>(5500000*91%)+3360000+(150000000*33%)</f>
        <v>57865000</v>
      </c>
      <c r="U22" s="380">
        <f>(471340694*95%)+14783248</f>
        <v>462556907.29999995</v>
      </c>
      <c r="V22" s="380">
        <f>(58000000*86%)+(5117000*71%)+20000000+(71651306*81%)</f>
        <v>131550627.86000001</v>
      </c>
      <c r="W22" s="380">
        <f>157760500+92608376+92608376</f>
        <v>342977252</v>
      </c>
      <c r="X22" s="167">
        <v>0</v>
      </c>
      <c r="Y22" s="380">
        <v>10550000</v>
      </c>
      <c r="Z22" s="167">
        <v>0</v>
      </c>
      <c r="AA22" s="167">
        <v>0</v>
      </c>
      <c r="AB22" s="167">
        <v>0</v>
      </c>
      <c r="AC22" s="380">
        <f>SUM(Q22:AB22)</f>
        <v>2401870787.1599998</v>
      </c>
      <c r="AD22" s="171"/>
      <c r="AE22" s="3"/>
      <c r="AF22" s="483"/>
      <c r="AG22" s="389">
        <f>+AC22-AC24</f>
        <v>0</v>
      </c>
    </row>
    <row r="23" spans="1:41" ht="32.1" customHeight="1">
      <c r="A23" s="550" t="s">
        <v>44</v>
      </c>
      <c r="B23" s="562"/>
      <c r="C23" s="164">
        <v>0</v>
      </c>
      <c r="D23" s="163">
        <v>0</v>
      </c>
      <c r="E23" s="163">
        <v>0</v>
      </c>
      <c r="F23" s="163">
        <v>0</v>
      </c>
      <c r="G23" s="163">
        <v>0</v>
      </c>
      <c r="H23" s="163">
        <v>0</v>
      </c>
      <c r="I23" s="163">
        <v>0</v>
      </c>
      <c r="J23" s="163">
        <v>0</v>
      </c>
      <c r="K23" s="163">
        <v>0</v>
      </c>
      <c r="L23" s="163">
        <v>0</v>
      </c>
      <c r="M23" s="163">
        <v>0</v>
      </c>
      <c r="N23" s="163">
        <v>0</v>
      </c>
      <c r="O23" s="167">
        <f>SUM(C23:N23)</f>
        <v>0</v>
      </c>
      <c r="P23" s="169" t="str">
        <f>IFERROR(O23/(SUMIF(C23:N23,"&gt;0",C22:N22))," ")</f>
        <v xml:space="preserve"> </v>
      </c>
      <c r="Q23" s="222">
        <v>1351177000</v>
      </c>
      <c r="R23" s="167">
        <v>0</v>
      </c>
      <c r="S23" s="167">
        <v>0</v>
      </c>
      <c r="T23" s="167">
        <v>0</v>
      </c>
      <c r="U23" s="167">
        <v>0</v>
      </c>
      <c r="V23" s="167">
        <v>0</v>
      </c>
      <c r="W23" s="167">
        <v>0</v>
      </c>
      <c r="X23" s="167">
        <v>0</v>
      </c>
      <c r="Y23" s="167">
        <v>0</v>
      </c>
      <c r="Z23" s="167">
        <v>0</v>
      </c>
      <c r="AA23" s="167">
        <v>0</v>
      </c>
      <c r="AB23" s="167">
        <v>0</v>
      </c>
      <c r="AC23" s="381">
        <f>SUM(Q23:AB23)</f>
        <v>1351177000</v>
      </c>
      <c r="AD23" s="466">
        <f>IFERROR(AC23/(SUMIF(Q23:AB23,"&gt;0",Q22:AB22))," ")</f>
        <v>0.97148828902412365</v>
      </c>
      <c r="AE23" s="3"/>
      <c r="AF23" s="483"/>
    </row>
    <row r="24" spans="1:41" ht="32.1" customHeight="1">
      <c r="A24" s="550" t="s">
        <v>45</v>
      </c>
      <c r="B24" s="562"/>
      <c r="C24" s="164">
        <v>0</v>
      </c>
      <c r="D24" s="223">
        <f>106321566-'Meta 2'!D24-'Meta 3'!D24</f>
        <v>101788233</v>
      </c>
      <c r="E24" s="223">
        <f>135336216-'Meta 2'!E24-'Meta 3'!E24</f>
        <v>124895643</v>
      </c>
      <c r="F24" s="223">
        <f>319410633-17685918.0000002-'Meta 2'!F24-'Meta 3'!F24</f>
        <v>277514964.29999983</v>
      </c>
      <c r="G24" s="163">
        <v>0</v>
      </c>
      <c r="H24" s="163">
        <v>0</v>
      </c>
      <c r="I24" s="163">
        <v>0</v>
      </c>
      <c r="J24" s="163">
        <v>0</v>
      </c>
      <c r="K24" s="163">
        <v>0</v>
      </c>
      <c r="L24" s="163">
        <v>0</v>
      </c>
      <c r="M24" s="163">
        <v>0</v>
      </c>
      <c r="N24" s="163">
        <v>0</v>
      </c>
      <c r="O24" s="167">
        <f>SUM(C24:N24)</f>
        <v>504198840.29999983</v>
      </c>
      <c r="P24" s="394"/>
      <c r="Q24" s="379">
        <v>0</v>
      </c>
      <c r="R24" s="380">
        <v>93098268.096666679</v>
      </c>
      <c r="S24" s="380">
        <v>167652934.76333335</v>
      </c>
      <c r="T24" s="380">
        <v>167652934.76333335</v>
      </c>
      <c r="U24" s="381">
        <v>167652934.76333335</v>
      </c>
      <c r="V24" s="381">
        <v>168278559.76333335</v>
      </c>
      <c r="W24" s="381">
        <v>213550774.04904768</v>
      </c>
      <c r="X24" s="381">
        <v>202142440.71571437</v>
      </c>
      <c r="Y24" s="381">
        <v>218642440.71571437</v>
      </c>
      <c r="Z24" s="381">
        <v>216925688.71571437</v>
      </c>
      <c r="AA24" s="381">
        <v>311250816.71571434</v>
      </c>
      <c r="AB24" s="381">
        <f>300289816.715714+174733177.382381</f>
        <v>475022994.09809494</v>
      </c>
      <c r="AC24" s="381">
        <f>SUM(Q24:AB24)</f>
        <v>2401870787.1600003</v>
      </c>
      <c r="AD24" s="169"/>
      <c r="AE24" s="3"/>
      <c r="AF24" s="483"/>
    </row>
    <row r="25" spans="1:41" ht="32.1" customHeight="1" thickBot="1">
      <c r="A25" s="563" t="s">
        <v>46</v>
      </c>
      <c r="B25" s="564"/>
      <c r="C25" s="464">
        <v>26967057.460000001</v>
      </c>
      <c r="D25" s="166">
        <v>0</v>
      </c>
      <c r="E25" s="166">
        <v>0</v>
      </c>
      <c r="F25" s="166">
        <v>0</v>
      </c>
      <c r="G25" s="166">
        <v>0</v>
      </c>
      <c r="H25" s="166">
        <v>0</v>
      </c>
      <c r="I25" s="166">
        <v>0</v>
      </c>
      <c r="J25" s="166">
        <v>0</v>
      </c>
      <c r="K25" s="166">
        <v>0</v>
      </c>
      <c r="L25" s="166">
        <v>0</v>
      </c>
      <c r="M25" s="166">
        <v>0</v>
      </c>
      <c r="N25" s="166">
        <v>0</v>
      </c>
      <c r="O25" s="391">
        <f>SUM(C25:N25)</f>
        <v>26967057.460000001</v>
      </c>
      <c r="P25" s="391" t="str">
        <f>IFERROR(O25/(SUMIF(C25:N25,"&gt;0",C24:N24))," ")</f>
        <v xml:space="preserve"> </v>
      </c>
      <c r="Q25" s="390">
        <v>0</v>
      </c>
      <c r="R25" s="391">
        <v>0</v>
      </c>
      <c r="S25" s="391">
        <v>0</v>
      </c>
      <c r="T25" s="391">
        <v>0</v>
      </c>
      <c r="U25" s="391">
        <v>0</v>
      </c>
      <c r="V25" s="391">
        <v>0</v>
      </c>
      <c r="W25" s="391">
        <v>0</v>
      </c>
      <c r="X25" s="391">
        <v>0</v>
      </c>
      <c r="Y25" s="391">
        <v>0</v>
      </c>
      <c r="Z25" s="391">
        <v>0</v>
      </c>
      <c r="AA25" s="391">
        <v>0</v>
      </c>
      <c r="AB25" s="391">
        <v>0</v>
      </c>
      <c r="AC25" s="382">
        <f>SUM(Q25:AB25)</f>
        <v>0</v>
      </c>
      <c r="AD25" s="170" t="str">
        <f>IFERROR(AC25/(SUMIF(Q25:AB25,"&gt;0",Q24:AB24))," ")</f>
        <v xml:space="preserve"> </v>
      </c>
      <c r="AE25" s="3"/>
      <c r="AF25" s="483"/>
    </row>
    <row r="26" spans="1:41"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2"/>
    </row>
    <row r="27" spans="1:41" ht="33.950000000000003" customHeight="1">
      <c r="A27" s="565" t="s">
        <v>47</v>
      </c>
      <c r="B27" s="566"/>
      <c r="C27" s="567"/>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8"/>
    </row>
    <row r="28" spans="1:41" ht="15" customHeight="1">
      <c r="A28" s="569" t="s">
        <v>48</v>
      </c>
      <c r="B28" s="571" t="s">
        <v>49</v>
      </c>
      <c r="C28" s="572"/>
      <c r="D28" s="562" t="s">
        <v>50</v>
      </c>
      <c r="E28" s="573"/>
      <c r="F28" s="573"/>
      <c r="G28" s="573"/>
      <c r="H28" s="573"/>
      <c r="I28" s="573"/>
      <c r="J28" s="573"/>
      <c r="K28" s="573"/>
      <c r="L28" s="573"/>
      <c r="M28" s="573"/>
      <c r="N28" s="573"/>
      <c r="O28" s="574"/>
      <c r="P28" s="551" t="s">
        <v>41</v>
      </c>
      <c r="Q28" s="551" t="s">
        <v>51</v>
      </c>
      <c r="R28" s="551"/>
      <c r="S28" s="551"/>
      <c r="T28" s="551"/>
      <c r="U28" s="551"/>
      <c r="V28" s="551"/>
      <c r="W28" s="551"/>
      <c r="X28" s="551"/>
      <c r="Y28" s="551"/>
      <c r="Z28" s="551"/>
      <c r="AA28" s="551"/>
      <c r="AB28" s="551"/>
      <c r="AC28" s="551"/>
      <c r="AD28" s="552"/>
    </row>
    <row r="29" spans="1:41" ht="27" customHeight="1">
      <c r="A29" s="570"/>
      <c r="B29" s="535"/>
      <c r="C29" s="561"/>
      <c r="D29" s="88" t="s">
        <v>29</v>
      </c>
      <c r="E29" s="88" t="s">
        <v>30</v>
      </c>
      <c r="F29" s="88" t="s">
        <v>31</v>
      </c>
      <c r="G29" s="88" t="s">
        <v>32</v>
      </c>
      <c r="H29" s="88" t="s">
        <v>33</v>
      </c>
      <c r="I29" s="88" t="s">
        <v>34</v>
      </c>
      <c r="J29" s="88" t="s">
        <v>35</v>
      </c>
      <c r="K29" s="88" t="s">
        <v>36</v>
      </c>
      <c r="L29" s="88" t="s">
        <v>37</v>
      </c>
      <c r="M29" s="88" t="s">
        <v>38</v>
      </c>
      <c r="N29" s="88" t="s">
        <v>39</v>
      </c>
      <c r="O29" s="88" t="s">
        <v>40</v>
      </c>
      <c r="P29" s="574"/>
      <c r="Q29" s="551"/>
      <c r="R29" s="551"/>
      <c r="S29" s="551"/>
      <c r="T29" s="551"/>
      <c r="U29" s="551"/>
      <c r="V29" s="551"/>
      <c r="W29" s="551"/>
      <c r="X29" s="551"/>
      <c r="Y29" s="551"/>
      <c r="Z29" s="551"/>
      <c r="AA29" s="551"/>
      <c r="AB29" s="551"/>
      <c r="AC29" s="551"/>
      <c r="AD29" s="552"/>
    </row>
    <row r="30" spans="1:41" ht="62.1" customHeight="1" thickBot="1">
      <c r="A30" s="440" t="str">
        <f>C17</f>
        <v>Formar 26100 mujeres en sus derechos a través de procesos de desarrollo de capacidades en el uso TIC</v>
      </c>
      <c r="B30" s="553"/>
      <c r="C30" s="554"/>
      <c r="D30" s="182"/>
      <c r="E30" s="89"/>
      <c r="F30" s="89"/>
      <c r="G30" s="89"/>
      <c r="H30" s="89"/>
      <c r="I30" s="89"/>
      <c r="J30" s="89"/>
      <c r="K30" s="89"/>
      <c r="L30" s="89"/>
      <c r="M30" s="89"/>
      <c r="N30" s="89"/>
      <c r="O30" s="89"/>
      <c r="P30" s="86">
        <f>SUM(D30:O30)</f>
        <v>0</v>
      </c>
      <c r="Q30" s="555" t="s">
        <v>1071</v>
      </c>
      <c r="R30" s="555"/>
      <c r="S30" s="555"/>
      <c r="T30" s="555"/>
      <c r="U30" s="555"/>
      <c r="V30" s="555"/>
      <c r="W30" s="555"/>
      <c r="X30" s="555"/>
      <c r="Y30" s="555"/>
      <c r="Z30" s="555"/>
      <c r="AA30" s="555"/>
      <c r="AB30" s="555"/>
      <c r="AC30" s="555"/>
      <c r="AD30" s="556"/>
    </row>
    <row r="31" spans="1:41" ht="45" customHeight="1">
      <c r="A31" s="557" t="s">
        <v>53</v>
      </c>
      <c r="B31" s="558"/>
      <c r="C31" s="558"/>
      <c r="D31" s="558"/>
      <c r="E31" s="558"/>
      <c r="F31" s="558"/>
      <c r="G31" s="558"/>
      <c r="H31" s="558"/>
      <c r="I31" s="558"/>
      <c r="J31" s="558"/>
      <c r="K31" s="558"/>
      <c r="L31" s="558"/>
      <c r="M31" s="558"/>
      <c r="N31" s="558"/>
      <c r="O31" s="558"/>
      <c r="P31" s="558"/>
      <c r="Q31" s="558"/>
      <c r="R31" s="558"/>
      <c r="S31" s="558"/>
      <c r="T31" s="558"/>
      <c r="U31" s="558"/>
      <c r="V31" s="558"/>
      <c r="W31" s="558"/>
      <c r="X31" s="558"/>
      <c r="Y31" s="558"/>
      <c r="Z31" s="558"/>
      <c r="AA31" s="558"/>
      <c r="AB31" s="558"/>
      <c r="AC31" s="558"/>
      <c r="AD31" s="559"/>
    </row>
    <row r="32" spans="1:41" ht="23.1" customHeight="1">
      <c r="A32" s="550" t="s">
        <v>54</v>
      </c>
      <c r="B32" s="551" t="s">
        <v>55</v>
      </c>
      <c r="C32" s="551" t="s">
        <v>49</v>
      </c>
      <c r="D32" s="551" t="s">
        <v>56</v>
      </c>
      <c r="E32" s="551"/>
      <c r="F32" s="551"/>
      <c r="G32" s="551"/>
      <c r="H32" s="551"/>
      <c r="I32" s="551"/>
      <c r="J32" s="551"/>
      <c r="K32" s="551"/>
      <c r="L32" s="551"/>
      <c r="M32" s="551"/>
      <c r="N32" s="551"/>
      <c r="O32" s="551"/>
      <c r="P32" s="551"/>
      <c r="Q32" s="551" t="s">
        <v>57</v>
      </c>
      <c r="R32" s="551"/>
      <c r="S32" s="551"/>
      <c r="T32" s="551"/>
      <c r="U32" s="551"/>
      <c r="V32" s="551"/>
      <c r="W32" s="551"/>
      <c r="X32" s="551"/>
      <c r="Y32" s="551"/>
      <c r="Z32" s="551"/>
      <c r="AA32" s="551"/>
      <c r="AB32" s="551"/>
      <c r="AC32" s="551"/>
      <c r="AD32" s="552"/>
      <c r="AG32" s="87"/>
      <c r="AH32" s="87"/>
      <c r="AI32" s="87"/>
      <c r="AJ32" s="87"/>
      <c r="AK32" s="87"/>
      <c r="AL32" s="87"/>
      <c r="AM32" s="87"/>
      <c r="AN32" s="87"/>
      <c r="AO32" s="87"/>
    </row>
    <row r="33" spans="1:41" ht="23.1" customHeight="1">
      <c r="A33" s="550"/>
      <c r="B33" s="551"/>
      <c r="C33" s="560"/>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535" t="s">
        <v>58</v>
      </c>
      <c r="R33" s="536"/>
      <c r="S33" s="536"/>
      <c r="T33" s="536"/>
      <c r="U33" s="536"/>
      <c r="V33" s="561"/>
      <c r="W33" s="535" t="s">
        <v>59</v>
      </c>
      <c r="X33" s="536"/>
      <c r="Y33" s="536"/>
      <c r="Z33" s="561"/>
      <c r="AA33" s="535" t="s">
        <v>60</v>
      </c>
      <c r="AB33" s="536"/>
      <c r="AC33" s="536"/>
      <c r="AD33" s="537"/>
      <c r="AF33" s="160" t="s">
        <v>1072</v>
      </c>
      <c r="AG33" s="87"/>
      <c r="AH33" s="87"/>
      <c r="AI33" s="87"/>
      <c r="AJ33" s="87"/>
      <c r="AK33" s="87"/>
      <c r="AL33" s="87"/>
      <c r="AM33" s="87"/>
      <c r="AN33" s="87"/>
      <c r="AO33" s="87"/>
    </row>
    <row r="34" spans="1:41" ht="33" customHeight="1">
      <c r="A34" s="538" t="str">
        <f>A30</f>
        <v>Formar 26100 mujeres en sus derechos a través de procesos de desarrollo de capacidades en el uso TIC</v>
      </c>
      <c r="B34" s="540">
        <f>B38+B40+B42+B44+B46+B48</f>
        <v>0.3</v>
      </c>
      <c r="C34" s="90" t="s">
        <v>61</v>
      </c>
      <c r="D34" s="182">
        <v>0</v>
      </c>
      <c r="E34" s="89">
        <v>500</v>
      </c>
      <c r="F34" s="89">
        <v>700</v>
      </c>
      <c r="G34" s="89">
        <v>700</v>
      </c>
      <c r="H34" s="89">
        <v>700</v>
      </c>
      <c r="I34" s="89">
        <v>700</v>
      </c>
      <c r="J34" s="89">
        <v>700</v>
      </c>
      <c r="K34" s="89">
        <v>700</v>
      </c>
      <c r="L34" s="89">
        <v>700</v>
      </c>
      <c r="M34" s="89">
        <v>700</v>
      </c>
      <c r="N34" s="89">
        <v>700</v>
      </c>
      <c r="O34" s="89">
        <v>200</v>
      </c>
      <c r="P34" s="89">
        <f>SUM(D34:O34)</f>
        <v>7000</v>
      </c>
      <c r="Q34" s="542"/>
      <c r="R34" s="543"/>
      <c r="S34" s="543"/>
      <c r="T34" s="543"/>
      <c r="U34" s="543"/>
      <c r="V34" s="544"/>
      <c r="W34" s="542"/>
      <c r="X34" s="543"/>
      <c r="Y34" s="543"/>
      <c r="Z34" s="544"/>
      <c r="AA34" s="542"/>
      <c r="AB34" s="543"/>
      <c r="AC34" s="543"/>
      <c r="AD34" s="548"/>
      <c r="AF34" s="72" t="s">
        <v>1073</v>
      </c>
      <c r="AH34" s="87"/>
      <c r="AI34" s="87"/>
      <c r="AJ34" s="87"/>
      <c r="AK34" s="87"/>
      <c r="AL34" s="87"/>
      <c r="AM34" s="87"/>
      <c r="AN34" s="87"/>
      <c r="AO34" s="87"/>
    </row>
    <row r="35" spans="1:41" ht="33.950000000000003" customHeight="1">
      <c r="A35" s="539"/>
      <c r="B35" s="541"/>
      <c r="C35" s="183" t="s">
        <v>65</v>
      </c>
      <c r="D35" s="184"/>
      <c r="E35" s="184"/>
      <c r="F35" s="184"/>
      <c r="G35" s="185"/>
      <c r="H35" s="185"/>
      <c r="I35" s="185"/>
      <c r="J35" s="185"/>
      <c r="K35" s="185"/>
      <c r="L35" s="185"/>
      <c r="M35" s="185"/>
      <c r="N35" s="185"/>
      <c r="O35" s="185"/>
      <c r="P35" s="186">
        <f>SUM(D35:O35)</f>
        <v>0</v>
      </c>
      <c r="Q35" s="545"/>
      <c r="R35" s="546"/>
      <c r="S35" s="546"/>
      <c r="T35" s="546"/>
      <c r="U35" s="546"/>
      <c r="V35" s="547"/>
      <c r="W35" s="545"/>
      <c r="X35" s="546"/>
      <c r="Y35" s="546"/>
      <c r="Z35" s="547"/>
      <c r="AA35" s="545"/>
      <c r="AB35" s="546"/>
      <c r="AC35" s="546"/>
      <c r="AD35" s="549"/>
      <c r="AE35" s="49"/>
      <c r="AF35" s="484">
        <f>LEN(AF34)</f>
        <v>294</v>
      </c>
      <c r="AG35" s="87"/>
      <c r="AH35" s="87"/>
      <c r="AI35" s="87"/>
      <c r="AJ35" s="87"/>
      <c r="AK35" s="87"/>
      <c r="AL35" s="87"/>
      <c r="AM35" s="87"/>
      <c r="AN35" s="87"/>
      <c r="AO35" s="87"/>
    </row>
    <row r="36" spans="1:41" ht="26.1" customHeight="1">
      <c r="A36" s="550" t="s">
        <v>66</v>
      </c>
      <c r="B36" s="551" t="s">
        <v>67</v>
      </c>
      <c r="C36" s="551" t="s">
        <v>68</v>
      </c>
      <c r="D36" s="551"/>
      <c r="E36" s="551"/>
      <c r="F36" s="551"/>
      <c r="G36" s="551"/>
      <c r="H36" s="551"/>
      <c r="I36" s="551"/>
      <c r="J36" s="551"/>
      <c r="K36" s="551"/>
      <c r="L36" s="551"/>
      <c r="M36" s="551"/>
      <c r="N36" s="551"/>
      <c r="O36" s="551"/>
      <c r="P36" s="551"/>
      <c r="Q36" s="551" t="s">
        <v>69</v>
      </c>
      <c r="R36" s="551"/>
      <c r="S36" s="551"/>
      <c r="T36" s="551"/>
      <c r="U36" s="551"/>
      <c r="V36" s="551"/>
      <c r="W36" s="551"/>
      <c r="X36" s="551"/>
      <c r="Y36" s="551"/>
      <c r="Z36" s="551"/>
      <c r="AA36" s="551"/>
      <c r="AB36" s="551"/>
      <c r="AC36" s="551"/>
      <c r="AD36" s="552"/>
      <c r="AG36" s="87"/>
      <c r="AH36" s="87"/>
      <c r="AI36" s="87"/>
      <c r="AJ36" s="87"/>
      <c r="AK36" s="87"/>
      <c r="AL36" s="87"/>
      <c r="AM36" s="87"/>
      <c r="AN36" s="87"/>
      <c r="AO36" s="87"/>
    </row>
    <row r="37" spans="1:41" ht="26.1" customHeight="1">
      <c r="A37" s="550"/>
      <c r="B37" s="551"/>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551" t="s">
        <v>84</v>
      </c>
      <c r="R37" s="551"/>
      <c r="S37" s="551"/>
      <c r="T37" s="551"/>
      <c r="U37" s="551"/>
      <c r="V37" s="551"/>
      <c r="W37" s="551"/>
      <c r="X37" s="551"/>
      <c r="Y37" s="551"/>
      <c r="Z37" s="551"/>
      <c r="AA37" s="551"/>
      <c r="AB37" s="551"/>
      <c r="AC37" s="551"/>
      <c r="AD37" s="552"/>
      <c r="AG37" s="94"/>
      <c r="AH37" s="94"/>
      <c r="AI37" s="94"/>
      <c r="AJ37" s="94"/>
      <c r="AK37" s="94"/>
      <c r="AL37" s="94"/>
      <c r="AM37" s="94"/>
      <c r="AN37" s="94"/>
      <c r="AO37" s="94"/>
    </row>
    <row r="38" spans="1:41" ht="42.75" customHeight="1">
      <c r="A38" s="527" t="s">
        <v>85</v>
      </c>
      <c r="B38" s="529">
        <v>0.05</v>
      </c>
      <c r="C38" s="102" t="s">
        <v>61</v>
      </c>
      <c r="D38" s="103">
        <v>0</v>
      </c>
      <c r="E38" s="103">
        <v>0.05</v>
      </c>
      <c r="F38" s="103">
        <v>0.1</v>
      </c>
      <c r="G38" s="103">
        <v>0.1</v>
      </c>
      <c r="H38" s="103">
        <v>0.1</v>
      </c>
      <c r="I38" s="103">
        <v>0.1</v>
      </c>
      <c r="J38" s="103">
        <v>0.1</v>
      </c>
      <c r="K38" s="103">
        <v>0.1</v>
      </c>
      <c r="L38" s="103">
        <v>0.1</v>
      </c>
      <c r="M38" s="103">
        <v>0.1</v>
      </c>
      <c r="N38" s="103">
        <v>0.1</v>
      </c>
      <c r="O38" s="103">
        <v>0.05</v>
      </c>
      <c r="P38" s="187">
        <f t="shared" ref="P38:P49" si="0">SUM(D38:O38)</f>
        <v>0.99999999999999989</v>
      </c>
      <c r="Q38" s="531" t="s">
        <v>1061</v>
      </c>
      <c r="R38" s="531"/>
      <c r="S38" s="531"/>
      <c r="T38" s="531"/>
      <c r="U38" s="531"/>
      <c r="V38" s="531"/>
      <c r="W38" s="531"/>
      <c r="X38" s="531"/>
      <c r="Y38" s="531"/>
      <c r="Z38" s="531"/>
      <c r="AA38" s="531"/>
      <c r="AB38" s="531"/>
      <c r="AC38" s="531"/>
      <c r="AD38" s="532"/>
      <c r="AE38" s="97"/>
    </row>
    <row r="39" spans="1:41" ht="42.75" customHeight="1">
      <c r="A39" s="527"/>
      <c r="B39" s="529"/>
      <c r="C39" s="99" t="s">
        <v>65</v>
      </c>
      <c r="D39" s="100">
        <v>0</v>
      </c>
      <c r="E39" s="100"/>
      <c r="F39" s="100"/>
      <c r="G39" s="100"/>
      <c r="H39" s="100"/>
      <c r="I39" s="100"/>
      <c r="J39" s="100"/>
      <c r="K39" s="100"/>
      <c r="L39" s="100"/>
      <c r="M39" s="100"/>
      <c r="N39" s="100"/>
      <c r="O39" s="100"/>
      <c r="P39" s="187">
        <f t="shared" si="0"/>
        <v>0</v>
      </c>
      <c r="Q39" s="531"/>
      <c r="R39" s="531"/>
      <c r="S39" s="531"/>
      <c r="T39" s="531"/>
      <c r="U39" s="531"/>
      <c r="V39" s="531"/>
      <c r="W39" s="531"/>
      <c r="X39" s="531"/>
      <c r="Y39" s="531"/>
      <c r="Z39" s="531"/>
      <c r="AA39" s="531"/>
      <c r="AB39" s="531"/>
      <c r="AC39" s="531"/>
      <c r="AD39" s="532"/>
      <c r="AE39" s="97"/>
    </row>
    <row r="40" spans="1:41" ht="42.75" customHeight="1">
      <c r="A40" s="527" t="s">
        <v>86</v>
      </c>
      <c r="B40" s="529">
        <v>0.05</v>
      </c>
      <c r="C40" s="102" t="s">
        <v>61</v>
      </c>
      <c r="D40" s="103">
        <v>0</v>
      </c>
      <c r="E40" s="103">
        <v>0.05</v>
      </c>
      <c r="F40" s="103">
        <v>0.2</v>
      </c>
      <c r="G40" s="103">
        <v>0.2</v>
      </c>
      <c r="H40" s="103">
        <v>0.2</v>
      </c>
      <c r="I40" s="103">
        <v>0.1</v>
      </c>
      <c r="J40" s="103">
        <v>0.05</v>
      </c>
      <c r="K40" s="103">
        <v>0.05</v>
      </c>
      <c r="L40" s="103">
        <v>0.05</v>
      </c>
      <c r="M40" s="103">
        <v>0.05</v>
      </c>
      <c r="N40" s="103">
        <v>0.05</v>
      </c>
      <c r="O40" s="103">
        <v>0</v>
      </c>
      <c r="P40" s="187">
        <f t="shared" si="0"/>
        <v>1.0000000000000002</v>
      </c>
      <c r="Q40" s="531" t="s">
        <v>1062</v>
      </c>
      <c r="R40" s="531"/>
      <c r="S40" s="531"/>
      <c r="T40" s="531"/>
      <c r="U40" s="531"/>
      <c r="V40" s="531"/>
      <c r="W40" s="531"/>
      <c r="X40" s="531"/>
      <c r="Y40" s="531"/>
      <c r="Z40" s="531"/>
      <c r="AA40" s="531"/>
      <c r="AB40" s="531"/>
      <c r="AC40" s="531"/>
      <c r="AD40" s="532"/>
      <c r="AE40" s="97"/>
    </row>
    <row r="41" spans="1:41" ht="42.75" customHeight="1">
      <c r="A41" s="527"/>
      <c r="B41" s="529"/>
      <c r="C41" s="99" t="s">
        <v>65</v>
      </c>
      <c r="D41" s="100">
        <v>0</v>
      </c>
      <c r="E41" s="100"/>
      <c r="F41" s="100"/>
      <c r="G41" s="100"/>
      <c r="H41" s="100"/>
      <c r="I41" s="100"/>
      <c r="J41" s="100"/>
      <c r="K41" s="100"/>
      <c r="L41" s="100"/>
      <c r="M41" s="100"/>
      <c r="N41" s="100"/>
      <c r="O41" s="100"/>
      <c r="P41" s="187">
        <f t="shared" si="0"/>
        <v>0</v>
      </c>
      <c r="Q41" s="531"/>
      <c r="R41" s="531"/>
      <c r="S41" s="531"/>
      <c r="T41" s="531"/>
      <c r="U41" s="531"/>
      <c r="V41" s="531"/>
      <c r="W41" s="531"/>
      <c r="X41" s="531"/>
      <c r="Y41" s="531"/>
      <c r="Z41" s="531"/>
      <c r="AA41" s="531"/>
      <c r="AB41" s="531"/>
      <c r="AC41" s="531"/>
      <c r="AD41" s="532"/>
      <c r="AE41" s="97"/>
    </row>
    <row r="42" spans="1:41" ht="42.75" customHeight="1">
      <c r="A42" s="527" t="s">
        <v>87</v>
      </c>
      <c r="B42" s="529">
        <v>0.05</v>
      </c>
      <c r="C42" s="102" t="s">
        <v>61</v>
      </c>
      <c r="D42" s="103">
        <v>0</v>
      </c>
      <c r="E42" s="103">
        <v>9.0999999999999998E-2</v>
      </c>
      <c r="F42" s="103">
        <v>9.0999999999999998E-2</v>
      </c>
      <c r="G42" s="103">
        <v>9.0999999999999998E-2</v>
      </c>
      <c r="H42" s="103">
        <v>9.0999999999999998E-2</v>
      </c>
      <c r="I42" s="103">
        <v>9.0999999999999998E-2</v>
      </c>
      <c r="J42" s="103">
        <v>9.0999999999999998E-2</v>
      </c>
      <c r="K42" s="103">
        <v>9.0999999999999998E-2</v>
      </c>
      <c r="L42" s="103">
        <v>9.0999999999999998E-2</v>
      </c>
      <c r="M42" s="103">
        <v>9.0999999999999998E-2</v>
      </c>
      <c r="N42" s="103">
        <v>9.0999999999999998E-2</v>
      </c>
      <c r="O42" s="103">
        <v>9.0999999999999998E-2</v>
      </c>
      <c r="P42" s="187">
        <f t="shared" si="0"/>
        <v>1.0009999999999999</v>
      </c>
      <c r="Q42" s="531" t="s">
        <v>1061</v>
      </c>
      <c r="R42" s="531"/>
      <c r="S42" s="531"/>
      <c r="T42" s="531"/>
      <c r="U42" s="531"/>
      <c r="V42" s="531"/>
      <c r="W42" s="531"/>
      <c r="X42" s="531"/>
      <c r="Y42" s="531"/>
      <c r="Z42" s="531"/>
      <c r="AA42" s="531"/>
      <c r="AB42" s="531"/>
      <c r="AC42" s="531"/>
      <c r="AD42" s="532"/>
      <c r="AE42" s="97"/>
    </row>
    <row r="43" spans="1:41" ht="42.75" customHeight="1">
      <c r="A43" s="527"/>
      <c r="B43" s="529"/>
      <c r="C43" s="99" t="s">
        <v>65</v>
      </c>
      <c r="D43" s="100">
        <v>0</v>
      </c>
      <c r="E43" s="100"/>
      <c r="F43" s="100"/>
      <c r="G43" s="100"/>
      <c r="H43" s="100"/>
      <c r="I43" s="100"/>
      <c r="J43" s="100"/>
      <c r="K43" s="100"/>
      <c r="L43" s="100"/>
      <c r="M43" s="100"/>
      <c r="N43" s="100"/>
      <c r="O43" s="100"/>
      <c r="P43" s="187">
        <f t="shared" si="0"/>
        <v>0</v>
      </c>
      <c r="Q43" s="531"/>
      <c r="R43" s="531"/>
      <c r="S43" s="531"/>
      <c r="T43" s="531"/>
      <c r="U43" s="531"/>
      <c r="V43" s="531"/>
      <c r="W43" s="531"/>
      <c r="X43" s="531"/>
      <c r="Y43" s="531"/>
      <c r="Z43" s="531"/>
      <c r="AA43" s="531"/>
      <c r="AB43" s="531"/>
      <c r="AC43" s="531"/>
      <c r="AD43" s="532"/>
      <c r="AE43" s="97"/>
    </row>
    <row r="44" spans="1:41" ht="42.75" customHeight="1">
      <c r="A44" s="527" t="s">
        <v>88</v>
      </c>
      <c r="B44" s="529">
        <v>0.05</v>
      </c>
      <c r="C44" s="102" t="s">
        <v>61</v>
      </c>
      <c r="D44" s="103">
        <v>0</v>
      </c>
      <c r="E44" s="103">
        <v>0</v>
      </c>
      <c r="F44" s="103">
        <v>0.25</v>
      </c>
      <c r="G44" s="103">
        <v>0</v>
      </c>
      <c r="H44" s="103">
        <v>0</v>
      </c>
      <c r="I44" s="103">
        <v>0.25</v>
      </c>
      <c r="J44" s="103">
        <v>0</v>
      </c>
      <c r="K44" s="103">
        <v>0</v>
      </c>
      <c r="L44" s="103">
        <v>0.25</v>
      </c>
      <c r="M44" s="103">
        <v>0</v>
      </c>
      <c r="N44" s="103">
        <v>0</v>
      </c>
      <c r="O44" s="103">
        <v>0.25</v>
      </c>
      <c r="P44" s="187">
        <f>SUM(D44:O44)</f>
        <v>1</v>
      </c>
      <c r="Q44" s="531" t="s">
        <v>1061</v>
      </c>
      <c r="R44" s="531"/>
      <c r="S44" s="531"/>
      <c r="T44" s="531"/>
      <c r="U44" s="531"/>
      <c r="V44" s="531"/>
      <c r="W44" s="531"/>
      <c r="X44" s="531"/>
      <c r="Y44" s="531"/>
      <c r="Z44" s="531"/>
      <c r="AA44" s="531"/>
      <c r="AB44" s="531"/>
      <c r="AC44" s="531"/>
      <c r="AD44" s="532"/>
      <c r="AE44" s="97"/>
    </row>
    <row r="45" spans="1:41" ht="42.75" customHeight="1">
      <c r="A45" s="527"/>
      <c r="B45" s="529"/>
      <c r="C45" s="99" t="s">
        <v>65</v>
      </c>
      <c r="D45" s="100">
        <v>0</v>
      </c>
      <c r="E45" s="100"/>
      <c r="F45" s="100"/>
      <c r="G45" s="100"/>
      <c r="H45" s="100"/>
      <c r="I45" s="100"/>
      <c r="J45" s="100"/>
      <c r="K45" s="100"/>
      <c r="L45" s="100"/>
      <c r="M45" s="100"/>
      <c r="N45" s="100"/>
      <c r="O45" s="100"/>
      <c r="P45" s="187">
        <f t="shared" si="0"/>
        <v>0</v>
      </c>
      <c r="Q45" s="531"/>
      <c r="R45" s="531"/>
      <c r="S45" s="531"/>
      <c r="T45" s="531"/>
      <c r="U45" s="531"/>
      <c r="V45" s="531"/>
      <c r="W45" s="531"/>
      <c r="X45" s="531"/>
      <c r="Y45" s="531"/>
      <c r="Z45" s="531"/>
      <c r="AA45" s="531"/>
      <c r="AB45" s="531"/>
      <c r="AC45" s="531"/>
      <c r="AD45" s="532"/>
      <c r="AE45" s="97"/>
    </row>
    <row r="46" spans="1:41" ht="42.75" customHeight="1">
      <c r="A46" s="527" t="s">
        <v>89</v>
      </c>
      <c r="B46" s="529">
        <v>0.05</v>
      </c>
      <c r="C46" s="102" t="s">
        <v>61</v>
      </c>
      <c r="D46" s="103">
        <v>0</v>
      </c>
      <c r="E46" s="103">
        <v>0.2</v>
      </c>
      <c r="F46" s="103">
        <v>0.2</v>
      </c>
      <c r="G46" s="103">
        <v>0.2</v>
      </c>
      <c r="H46" s="103">
        <v>0.2</v>
      </c>
      <c r="I46" s="103">
        <v>0.1</v>
      </c>
      <c r="J46" s="103">
        <v>0.1</v>
      </c>
      <c r="K46" s="103">
        <v>0</v>
      </c>
      <c r="L46" s="103">
        <v>0</v>
      </c>
      <c r="M46" s="103">
        <v>0</v>
      </c>
      <c r="N46" s="103">
        <v>0</v>
      </c>
      <c r="O46" s="103">
        <v>0</v>
      </c>
      <c r="P46" s="187">
        <f>SUM(D46:O46)</f>
        <v>1</v>
      </c>
      <c r="Q46" s="531" t="s">
        <v>1063</v>
      </c>
      <c r="R46" s="531"/>
      <c r="S46" s="531"/>
      <c r="T46" s="531"/>
      <c r="U46" s="531"/>
      <c r="V46" s="531"/>
      <c r="W46" s="531"/>
      <c r="X46" s="531"/>
      <c r="Y46" s="531"/>
      <c r="Z46" s="531"/>
      <c r="AA46" s="531"/>
      <c r="AB46" s="531"/>
      <c r="AC46" s="531"/>
      <c r="AD46" s="532"/>
      <c r="AE46" s="97"/>
    </row>
    <row r="47" spans="1:41" ht="42.75" customHeight="1">
      <c r="A47" s="527"/>
      <c r="B47" s="529"/>
      <c r="C47" s="99" t="s">
        <v>65</v>
      </c>
      <c r="D47" s="100">
        <v>0</v>
      </c>
      <c r="E47" s="100"/>
      <c r="F47" s="100"/>
      <c r="G47" s="100"/>
      <c r="H47" s="100"/>
      <c r="I47" s="100"/>
      <c r="J47" s="100"/>
      <c r="K47" s="100"/>
      <c r="L47" s="100"/>
      <c r="M47" s="100"/>
      <c r="N47" s="100"/>
      <c r="O47" s="100"/>
      <c r="P47" s="187">
        <f t="shared" si="0"/>
        <v>0</v>
      </c>
      <c r="Q47" s="531"/>
      <c r="R47" s="531"/>
      <c r="S47" s="531"/>
      <c r="T47" s="531"/>
      <c r="U47" s="531"/>
      <c r="V47" s="531"/>
      <c r="W47" s="531"/>
      <c r="X47" s="531"/>
      <c r="Y47" s="531"/>
      <c r="Z47" s="531"/>
      <c r="AA47" s="531"/>
      <c r="AB47" s="531"/>
      <c r="AC47" s="531"/>
      <c r="AD47" s="532"/>
      <c r="AE47" s="97"/>
    </row>
    <row r="48" spans="1:41" ht="42.75" customHeight="1">
      <c r="A48" s="527" t="s">
        <v>90</v>
      </c>
      <c r="B48" s="529">
        <v>0.05</v>
      </c>
      <c r="C48" s="102" t="s">
        <v>61</v>
      </c>
      <c r="D48" s="103">
        <v>0</v>
      </c>
      <c r="E48" s="103">
        <v>0</v>
      </c>
      <c r="F48" s="103">
        <v>0</v>
      </c>
      <c r="G48" s="103">
        <v>0</v>
      </c>
      <c r="H48" s="103">
        <v>0</v>
      </c>
      <c r="I48" s="103">
        <v>0</v>
      </c>
      <c r="J48" s="103">
        <v>0.2</v>
      </c>
      <c r="K48" s="103">
        <v>0.2</v>
      </c>
      <c r="L48" s="103">
        <v>0.2</v>
      </c>
      <c r="M48" s="103">
        <v>0.2</v>
      </c>
      <c r="N48" s="103">
        <v>0.1</v>
      </c>
      <c r="O48" s="103">
        <v>0.1</v>
      </c>
      <c r="P48" s="187">
        <f t="shared" si="0"/>
        <v>1</v>
      </c>
      <c r="Q48" s="531" t="s">
        <v>1061</v>
      </c>
      <c r="R48" s="531"/>
      <c r="S48" s="531"/>
      <c r="T48" s="531"/>
      <c r="U48" s="531"/>
      <c r="V48" s="531"/>
      <c r="W48" s="531"/>
      <c r="X48" s="531"/>
      <c r="Y48" s="531"/>
      <c r="Z48" s="531"/>
      <c r="AA48" s="531"/>
      <c r="AB48" s="531"/>
      <c r="AC48" s="531"/>
      <c r="AD48" s="532"/>
      <c r="AE48" s="97"/>
    </row>
    <row r="49" spans="1:31" ht="42.75" customHeight="1" thickBot="1">
      <c r="A49" s="528"/>
      <c r="B49" s="530"/>
      <c r="C49" s="91" t="s">
        <v>65</v>
      </c>
      <c r="D49" s="105">
        <v>0</v>
      </c>
      <c r="E49" s="105"/>
      <c r="F49" s="105"/>
      <c r="G49" s="105"/>
      <c r="H49" s="105"/>
      <c r="I49" s="105"/>
      <c r="J49" s="105"/>
      <c r="K49" s="105"/>
      <c r="L49" s="105"/>
      <c r="M49" s="105"/>
      <c r="N49" s="105"/>
      <c r="O49" s="105"/>
      <c r="P49" s="458">
        <f t="shared" si="0"/>
        <v>0</v>
      </c>
      <c r="Q49" s="533"/>
      <c r="R49" s="533"/>
      <c r="S49" s="533"/>
      <c r="T49" s="533"/>
      <c r="U49" s="533"/>
      <c r="V49" s="533"/>
      <c r="W49" s="533"/>
      <c r="X49" s="533"/>
      <c r="Y49" s="533"/>
      <c r="Z49" s="533"/>
      <c r="AA49" s="533"/>
      <c r="AB49" s="533"/>
      <c r="AC49" s="533"/>
      <c r="AD49" s="534"/>
      <c r="AE49" s="97"/>
    </row>
    <row r="50" spans="1:31">
      <c r="A50" s="50" t="s">
        <v>91</v>
      </c>
    </row>
    <row r="51" spans="1:31">
      <c r="B51" s="400">
        <f>SUM(B38:B50)</f>
        <v>0.3</v>
      </c>
    </row>
  </sheetData>
  <mergeCells count="86">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0:A41"/>
    <mergeCell ref="B40:B41"/>
    <mergeCell ref="Q40:AD41"/>
    <mergeCell ref="A42:A43"/>
    <mergeCell ref="B42:B43"/>
    <mergeCell ref="A48:A49"/>
    <mergeCell ref="B48:B49"/>
    <mergeCell ref="Q48:AD49"/>
    <mergeCell ref="B46:B47"/>
    <mergeCell ref="Q42:AD43"/>
    <mergeCell ref="Q44:AD45"/>
    <mergeCell ref="Q46:AD47"/>
    <mergeCell ref="A44:A45"/>
    <mergeCell ref="B44:B45"/>
    <mergeCell ref="A46:A47"/>
  </mergeCells>
  <dataValidations count="3">
    <dataValidation type="list" allowBlank="1" showInputMessage="1" showErrorMessage="1" sqref="C7:C9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WVK7:WVK9 C65543:C65545 IY65543:IY65545 SU65543:SU65545 ACQ65543:ACQ65545 AMM65543:AMM65545 AWI65543:AWI65545 BGE65543:BGE65545 BQA65543:BQA65545 BZW65543:BZW65545 CJS65543:CJS65545 CTO65543:CTO65545 DDK65543:DDK65545 DNG65543:DNG65545 DXC65543:DXC65545 EGY65543:EGY65545 EQU65543:EQU65545 FAQ65543:FAQ65545 FKM65543:FKM65545 FUI65543:FUI65545 GEE65543:GEE65545 GOA65543:GOA65545 GXW65543:GXW65545 HHS65543:HHS65545 HRO65543:HRO65545 IBK65543:IBK65545 ILG65543:ILG65545 IVC65543:IVC65545 JEY65543:JEY65545 JOU65543:JOU65545 JYQ65543:JYQ65545 KIM65543:KIM65545 KSI65543:KSI65545 LCE65543:LCE65545 LMA65543:LMA65545 LVW65543:LVW65545 MFS65543:MFS65545 MPO65543:MPO65545 MZK65543:MZK65545 NJG65543:NJG65545 NTC65543:NTC65545 OCY65543:OCY65545 OMU65543:OMU65545 OWQ65543:OWQ65545 PGM65543:PGM65545 PQI65543:PQI65545 QAE65543:QAE65545 QKA65543:QKA65545 QTW65543:QTW65545 RDS65543:RDS65545 RNO65543:RNO65545 RXK65543:RXK65545 SHG65543:SHG65545 SRC65543:SRC65545 TAY65543:TAY65545 TKU65543:TKU65545 TUQ65543:TUQ65545 UEM65543:UEM65545 UOI65543:UOI65545 UYE65543:UYE65545 VIA65543:VIA65545 VRW65543:VRW65545 WBS65543:WBS65545 WLO65543:WLO65545 WVK65543:WVK65545 C131079:C131081 IY131079:IY131081 SU131079:SU131081 ACQ131079:ACQ131081 AMM131079:AMM131081 AWI131079:AWI131081 BGE131079:BGE131081 BQA131079:BQA131081 BZW131079:BZW131081 CJS131079:CJS131081 CTO131079:CTO131081 DDK131079:DDK131081 DNG131079:DNG131081 DXC131079:DXC131081 EGY131079:EGY131081 EQU131079:EQU131081 FAQ131079:FAQ131081 FKM131079:FKM131081 FUI131079:FUI131081 GEE131079:GEE131081 GOA131079:GOA131081 GXW131079:GXW131081 HHS131079:HHS131081 HRO131079:HRO131081 IBK131079:IBK131081 ILG131079:ILG131081 IVC131079:IVC131081 JEY131079:JEY131081 JOU131079:JOU131081 JYQ131079:JYQ131081 KIM131079:KIM131081 KSI131079:KSI131081 LCE131079:LCE131081 LMA131079:LMA131081 LVW131079:LVW131081 MFS131079:MFS131081 MPO131079:MPO131081 MZK131079:MZK131081 NJG131079:NJG131081 NTC131079:NTC131081 OCY131079:OCY131081 OMU131079:OMU131081 OWQ131079:OWQ131081 PGM131079:PGM131081 PQI131079:PQI131081 QAE131079:QAE131081 QKA131079:QKA131081 QTW131079:QTW131081 RDS131079:RDS131081 RNO131079:RNO131081 RXK131079:RXK131081 SHG131079:SHG131081 SRC131079:SRC131081 TAY131079:TAY131081 TKU131079:TKU131081 TUQ131079:TUQ131081 UEM131079:UEM131081 UOI131079:UOI131081 UYE131079:UYE131081 VIA131079:VIA131081 VRW131079:VRW131081 WBS131079:WBS131081 WLO131079:WLO131081 WVK131079:WVK131081 C196615:C196617 IY196615:IY196617 SU196615:SU196617 ACQ196615:ACQ196617 AMM196615:AMM196617 AWI196615:AWI196617 BGE196615:BGE196617 BQA196615:BQA196617 BZW196615:BZW196617 CJS196615:CJS196617 CTO196615:CTO196617 DDK196615:DDK196617 DNG196615:DNG196617 DXC196615:DXC196617 EGY196615:EGY196617 EQU196615:EQU196617 FAQ196615:FAQ196617 FKM196615:FKM196617 FUI196615:FUI196617 GEE196615:GEE196617 GOA196615:GOA196617 GXW196615:GXW196617 HHS196615:HHS196617 HRO196615:HRO196617 IBK196615:IBK196617 ILG196615:ILG196617 IVC196615:IVC196617 JEY196615:JEY196617 JOU196615:JOU196617 JYQ196615:JYQ196617 KIM196615:KIM196617 KSI196615:KSI196617 LCE196615:LCE196617 LMA196615:LMA196617 LVW196615:LVW196617 MFS196615:MFS196617 MPO196615:MPO196617 MZK196615:MZK196617 NJG196615:NJG196617 NTC196615:NTC196617 OCY196615:OCY196617 OMU196615:OMU196617 OWQ196615:OWQ196617 PGM196615:PGM196617 PQI196615:PQI196617 QAE196615:QAE196617 QKA196615:QKA196617 QTW196615:QTW196617 RDS196615:RDS196617 RNO196615:RNO196617 RXK196615:RXK196617 SHG196615:SHG196617 SRC196615:SRC196617 TAY196615:TAY196617 TKU196615:TKU196617 TUQ196615:TUQ196617 UEM196615:UEM196617 UOI196615:UOI196617 UYE196615:UYE196617 VIA196615:VIA196617 VRW196615:VRW196617 WBS196615:WBS196617 WLO196615:WLO196617 WVK196615:WVK196617 C262151:C262153 IY262151:IY262153 SU262151:SU262153 ACQ262151:ACQ262153 AMM262151:AMM262153 AWI262151:AWI262153 BGE262151:BGE262153 BQA262151:BQA262153 BZW262151:BZW262153 CJS262151:CJS262153 CTO262151:CTO262153 DDK262151:DDK262153 DNG262151:DNG262153 DXC262151:DXC262153 EGY262151:EGY262153 EQU262151:EQU262153 FAQ262151:FAQ262153 FKM262151:FKM262153 FUI262151:FUI262153 GEE262151:GEE262153 GOA262151:GOA262153 GXW262151:GXW262153 HHS262151:HHS262153 HRO262151:HRO262153 IBK262151:IBK262153 ILG262151:ILG262153 IVC262151:IVC262153 JEY262151:JEY262153 JOU262151:JOU262153 JYQ262151:JYQ262153 KIM262151:KIM262153 KSI262151:KSI262153 LCE262151:LCE262153 LMA262151:LMA262153 LVW262151:LVW262153 MFS262151:MFS262153 MPO262151:MPO262153 MZK262151:MZK262153 NJG262151:NJG262153 NTC262151:NTC262153 OCY262151:OCY262153 OMU262151:OMU262153 OWQ262151:OWQ262153 PGM262151:PGM262153 PQI262151:PQI262153 QAE262151:QAE262153 QKA262151:QKA262153 QTW262151:QTW262153 RDS262151:RDS262153 RNO262151:RNO262153 RXK262151:RXK262153 SHG262151:SHG262153 SRC262151:SRC262153 TAY262151:TAY262153 TKU262151:TKU262153 TUQ262151:TUQ262153 UEM262151:UEM262153 UOI262151:UOI262153 UYE262151:UYE262153 VIA262151:VIA262153 VRW262151:VRW262153 WBS262151:WBS262153 WLO262151:WLO262153 WVK262151:WVK262153 C327687:C327689 IY327687:IY327689 SU327687:SU327689 ACQ327687:ACQ327689 AMM327687:AMM327689 AWI327687:AWI327689 BGE327687:BGE327689 BQA327687:BQA327689 BZW327687:BZW327689 CJS327687:CJS327689 CTO327687:CTO327689 DDK327687:DDK327689 DNG327687:DNG327689 DXC327687:DXC327689 EGY327687:EGY327689 EQU327687:EQU327689 FAQ327687:FAQ327689 FKM327687:FKM327689 FUI327687:FUI327689 GEE327687:GEE327689 GOA327687:GOA327689 GXW327687:GXW327689 HHS327687:HHS327689 HRO327687:HRO327689 IBK327687:IBK327689 ILG327687:ILG327689 IVC327687:IVC327689 JEY327687:JEY327689 JOU327687:JOU327689 JYQ327687:JYQ327689 KIM327687:KIM327689 KSI327687:KSI327689 LCE327687:LCE327689 LMA327687:LMA327689 LVW327687:LVW327689 MFS327687:MFS327689 MPO327687:MPO327689 MZK327687:MZK327689 NJG327687:NJG327689 NTC327687:NTC327689 OCY327687:OCY327689 OMU327687:OMU327689 OWQ327687:OWQ327689 PGM327687:PGM327689 PQI327687:PQI327689 QAE327687:QAE327689 QKA327687:QKA327689 QTW327687:QTW327689 RDS327687:RDS327689 RNO327687:RNO327689 RXK327687:RXK327689 SHG327687:SHG327689 SRC327687:SRC327689 TAY327687:TAY327689 TKU327687:TKU327689 TUQ327687:TUQ327689 UEM327687:UEM327689 UOI327687:UOI327689 UYE327687:UYE327689 VIA327687:VIA327689 VRW327687:VRW327689 WBS327687:WBS327689 WLO327687:WLO327689 WVK327687:WVK327689 C393223:C393225 IY393223:IY393225 SU393223:SU393225 ACQ393223:ACQ393225 AMM393223:AMM393225 AWI393223:AWI393225 BGE393223:BGE393225 BQA393223:BQA393225 BZW393223:BZW393225 CJS393223:CJS393225 CTO393223:CTO393225 DDK393223:DDK393225 DNG393223:DNG393225 DXC393223:DXC393225 EGY393223:EGY393225 EQU393223:EQU393225 FAQ393223:FAQ393225 FKM393223:FKM393225 FUI393223:FUI393225 GEE393223:GEE393225 GOA393223:GOA393225 GXW393223:GXW393225 HHS393223:HHS393225 HRO393223:HRO393225 IBK393223:IBK393225 ILG393223:ILG393225 IVC393223:IVC393225 JEY393223:JEY393225 JOU393223:JOU393225 JYQ393223:JYQ393225 KIM393223:KIM393225 KSI393223:KSI393225 LCE393223:LCE393225 LMA393223:LMA393225 LVW393223:LVW393225 MFS393223:MFS393225 MPO393223:MPO393225 MZK393223:MZK393225 NJG393223:NJG393225 NTC393223:NTC393225 OCY393223:OCY393225 OMU393223:OMU393225 OWQ393223:OWQ393225 PGM393223:PGM393225 PQI393223:PQI393225 QAE393223:QAE393225 QKA393223:QKA393225 QTW393223:QTW393225 RDS393223:RDS393225 RNO393223:RNO393225 RXK393223:RXK393225 SHG393223:SHG393225 SRC393223:SRC393225 TAY393223:TAY393225 TKU393223:TKU393225 TUQ393223:TUQ393225 UEM393223:UEM393225 UOI393223:UOI393225 UYE393223:UYE393225 VIA393223:VIA393225 VRW393223:VRW393225 WBS393223:WBS393225 WLO393223:WLO393225 WVK393223:WVK393225 C458759:C458761 IY458759:IY458761 SU458759:SU458761 ACQ458759:ACQ458761 AMM458759:AMM458761 AWI458759:AWI458761 BGE458759:BGE458761 BQA458759:BQA458761 BZW458759:BZW458761 CJS458759:CJS458761 CTO458759:CTO458761 DDK458759:DDK458761 DNG458759:DNG458761 DXC458759:DXC458761 EGY458759:EGY458761 EQU458759:EQU458761 FAQ458759:FAQ458761 FKM458759:FKM458761 FUI458759:FUI458761 GEE458759:GEE458761 GOA458759:GOA458761 GXW458759:GXW458761 HHS458759:HHS458761 HRO458759:HRO458761 IBK458759:IBK458761 ILG458759:ILG458761 IVC458759:IVC458761 JEY458759:JEY458761 JOU458759:JOU458761 JYQ458759:JYQ458761 KIM458759:KIM458761 KSI458759:KSI458761 LCE458759:LCE458761 LMA458759:LMA458761 LVW458759:LVW458761 MFS458759:MFS458761 MPO458759:MPO458761 MZK458759:MZK458761 NJG458759:NJG458761 NTC458759:NTC458761 OCY458759:OCY458761 OMU458759:OMU458761 OWQ458759:OWQ458761 PGM458759:PGM458761 PQI458759:PQI458761 QAE458759:QAE458761 QKA458759:QKA458761 QTW458759:QTW458761 RDS458759:RDS458761 RNO458759:RNO458761 RXK458759:RXK458761 SHG458759:SHG458761 SRC458759:SRC458761 TAY458759:TAY458761 TKU458759:TKU458761 TUQ458759:TUQ458761 UEM458759:UEM458761 UOI458759:UOI458761 UYE458759:UYE458761 VIA458759:VIA458761 VRW458759:VRW458761 WBS458759:WBS458761 WLO458759:WLO458761 WVK458759:WVK458761 C524295:C524297 IY524295:IY524297 SU524295:SU524297 ACQ524295:ACQ524297 AMM524295:AMM524297 AWI524295:AWI524297 BGE524295:BGE524297 BQA524295:BQA524297 BZW524295:BZW524297 CJS524295:CJS524297 CTO524295:CTO524297 DDK524295:DDK524297 DNG524295:DNG524297 DXC524295:DXC524297 EGY524295:EGY524297 EQU524295:EQU524297 FAQ524295:FAQ524297 FKM524295:FKM524297 FUI524295:FUI524297 GEE524295:GEE524297 GOA524295:GOA524297 GXW524295:GXW524297 HHS524295:HHS524297 HRO524295:HRO524297 IBK524295:IBK524297 ILG524295:ILG524297 IVC524295:IVC524297 JEY524295:JEY524297 JOU524295:JOU524297 JYQ524295:JYQ524297 KIM524295:KIM524297 KSI524295:KSI524297 LCE524295:LCE524297 LMA524295:LMA524297 LVW524295:LVW524297 MFS524295:MFS524297 MPO524295:MPO524297 MZK524295:MZK524297 NJG524295:NJG524297 NTC524295:NTC524297 OCY524295:OCY524297 OMU524295:OMU524297 OWQ524295:OWQ524297 PGM524295:PGM524297 PQI524295:PQI524297 QAE524295:QAE524297 QKA524295:QKA524297 QTW524295:QTW524297 RDS524295:RDS524297 RNO524295:RNO524297 RXK524295:RXK524297 SHG524295:SHG524297 SRC524295:SRC524297 TAY524295:TAY524297 TKU524295:TKU524297 TUQ524295:TUQ524297 UEM524295:UEM524297 UOI524295:UOI524297 UYE524295:UYE524297 VIA524295:VIA524297 VRW524295:VRW524297 WBS524295:WBS524297 WLO524295:WLO524297 WVK524295:WVK524297 C589831:C589833 IY589831:IY589833 SU589831:SU589833 ACQ589831:ACQ589833 AMM589831:AMM589833 AWI589831:AWI589833 BGE589831:BGE589833 BQA589831:BQA589833 BZW589831:BZW589833 CJS589831:CJS589833 CTO589831:CTO589833 DDK589831:DDK589833 DNG589831:DNG589833 DXC589831:DXC589833 EGY589831:EGY589833 EQU589831:EQU589833 FAQ589831:FAQ589833 FKM589831:FKM589833 FUI589831:FUI589833 GEE589831:GEE589833 GOA589831:GOA589833 GXW589831:GXW589833 HHS589831:HHS589833 HRO589831:HRO589833 IBK589831:IBK589833 ILG589831:ILG589833 IVC589831:IVC589833 JEY589831:JEY589833 JOU589831:JOU589833 JYQ589831:JYQ589833 KIM589831:KIM589833 KSI589831:KSI589833 LCE589831:LCE589833 LMA589831:LMA589833 LVW589831:LVW589833 MFS589831:MFS589833 MPO589831:MPO589833 MZK589831:MZK589833 NJG589831:NJG589833 NTC589831:NTC589833 OCY589831:OCY589833 OMU589831:OMU589833 OWQ589831:OWQ589833 PGM589831:PGM589833 PQI589831:PQI589833 QAE589831:QAE589833 QKA589831:QKA589833 QTW589831:QTW589833 RDS589831:RDS589833 RNO589831:RNO589833 RXK589831:RXK589833 SHG589831:SHG589833 SRC589831:SRC589833 TAY589831:TAY589833 TKU589831:TKU589833 TUQ589831:TUQ589833 UEM589831:UEM589833 UOI589831:UOI589833 UYE589831:UYE589833 VIA589831:VIA589833 VRW589831:VRW589833 WBS589831:WBS589833 WLO589831:WLO589833 WVK589831:WVK589833 C655367:C655369 IY655367:IY655369 SU655367:SU655369 ACQ655367:ACQ655369 AMM655367:AMM655369 AWI655367:AWI655369 BGE655367:BGE655369 BQA655367:BQA655369 BZW655367:BZW655369 CJS655367:CJS655369 CTO655367:CTO655369 DDK655367:DDK655369 DNG655367:DNG655369 DXC655367:DXC655369 EGY655367:EGY655369 EQU655367:EQU655369 FAQ655367:FAQ655369 FKM655367:FKM655369 FUI655367:FUI655369 GEE655367:GEE655369 GOA655367:GOA655369 GXW655367:GXW655369 HHS655367:HHS655369 HRO655367:HRO655369 IBK655367:IBK655369 ILG655367:ILG655369 IVC655367:IVC655369 JEY655367:JEY655369 JOU655367:JOU655369 JYQ655367:JYQ655369 KIM655367:KIM655369 KSI655367:KSI655369 LCE655367:LCE655369 LMA655367:LMA655369 LVW655367:LVW655369 MFS655367:MFS655369 MPO655367:MPO655369 MZK655367:MZK655369 NJG655367:NJG655369 NTC655367:NTC655369 OCY655367:OCY655369 OMU655367:OMU655369 OWQ655367:OWQ655369 PGM655367:PGM655369 PQI655367:PQI655369 QAE655367:QAE655369 QKA655367:QKA655369 QTW655367:QTW655369 RDS655367:RDS655369 RNO655367:RNO655369 RXK655367:RXK655369 SHG655367:SHG655369 SRC655367:SRC655369 TAY655367:TAY655369 TKU655367:TKU655369 TUQ655367:TUQ655369 UEM655367:UEM655369 UOI655367:UOI655369 UYE655367:UYE655369 VIA655367:VIA655369 VRW655367:VRW655369 WBS655367:WBS655369 WLO655367:WLO655369 WVK655367:WVK655369 C720903:C720905 IY720903:IY720905 SU720903:SU720905 ACQ720903:ACQ720905 AMM720903:AMM720905 AWI720903:AWI720905 BGE720903:BGE720905 BQA720903:BQA720905 BZW720903:BZW720905 CJS720903:CJS720905 CTO720903:CTO720905 DDK720903:DDK720905 DNG720903:DNG720905 DXC720903:DXC720905 EGY720903:EGY720905 EQU720903:EQU720905 FAQ720903:FAQ720905 FKM720903:FKM720905 FUI720903:FUI720905 GEE720903:GEE720905 GOA720903:GOA720905 GXW720903:GXW720905 HHS720903:HHS720905 HRO720903:HRO720905 IBK720903:IBK720905 ILG720903:ILG720905 IVC720903:IVC720905 JEY720903:JEY720905 JOU720903:JOU720905 JYQ720903:JYQ720905 KIM720903:KIM720905 KSI720903:KSI720905 LCE720903:LCE720905 LMA720903:LMA720905 LVW720903:LVW720905 MFS720903:MFS720905 MPO720903:MPO720905 MZK720903:MZK720905 NJG720903:NJG720905 NTC720903:NTC720905 OCY720903:OCY720905 OMU720903:OMU720905 OWQ720903:OWQ720905 PGM720903:PGM720905 PQI720903:PQI720905 QAE720903:QAE720905 QKA720903:QKA720905 QTW720903:QTW720905 RDS720903:RDS720905 RNO720903:RNO720905 RXK720903:RXK720905 SHG720903:SHG720905 SRC720903:SRC720905 TAY720903:TAY720905 TKU720903:TKU720905 TUQ720903:TUQ720905 UEM720903:UEM720905 UOI720903:UOI720905 UYE720903:UYE720905 VIA720903:VIA720905 VRW720903:VRW720905 WBS720903:WBS720905 WLO720903:WLO720905 WVK720903:WVK720905 C786439:C786441 IY786439:IY786441 SU786439:SU786441 ACQ786439:ACQ786441 AMM786439:AMM786441 AWI786439:AWI786441 BGE786439:BGE786441 BQA786439:BQA786441 BZW786439:BZW786441 CJS786439:CJS786441 CTO786439:CTO786441 DDK786439:DDK786441 DNG786439:DNG786441 DXC786439:DXC786441 EGY786439:EGY786441 EQU786439:EQU786441 FAQ786439:FAQ786441 FKM786439:FKM786441 FUI786439:FUI786441 GEE786439:GEE786441 GOA786439:GOA786441 GXW786439:GXW786441 HHS786439:HHS786441 HRO786439:HRO786441 IBK786439:IBK786441 ILG786439:ILG786441 IVC786439:IVC786441 JEY786439:JEY786441 JOU786439:JOU786441 JYQ786439:JYQ786441 KIM786439:KIM786441 KSI786439:KSI786441 LCE786439:LCE786441 LMA786439:LMA786441 LVW786439:LVW786441 MFS786439:MFS786441 MPO786439:MPO786441 MZK786439:MZK786441 NJG786439:NJG786441 NTC786439:NTC786441 OCY786439:OCY786441 OMU786439:OMU786441 OWQ786439:OWQ786441 PGM786439:PGM786441 PQI786439:PQI786441 QAE786439:QAE786441 QKA786439:QKA786441 QTW786439:QTW786441 RDS786439:RDS786441 RNO786439:RNO786441 RXK786439:RXK786441 SHG786439:SHG786441 SRC786439:SRC786441 TAY786439:TAY786441 TKU786439:TKU786441 TUQ786439:TUQ786441 UEM786439:UEM786441 UOI786439:UOI786441 UYE786439:UYE786441 VIA786439:VIA786441 VRW786439:VRW786441 WBS786439:WBS786441 WLO786439:WLO786441 WVK786439:WVK786441 C851975:C851977 IY851975:IY851977 SU851975:SU851977 ACQ851975:ACQ851977 AMM851975:AMM851977 AWI851975:AWI851977 BGE851975:BGE851977 BQA851975:BQA851977 BZW851975:BZW851977 CJS851975:CJS851977 CTO851975:CTO851977 DDK851975:DDK851977 DNG851975:DNG851977 DXC851975:DXC851977 EGY851975:EGY851977 EQU851975:EQU851977 FAQ851975:FAQ851977 FKM851975:FKM851977 FUI851975:FUI851977 GEE851975:GEE851977 GOA851975:GOA851977 GXW851975:GXW851977 HHS851975:HHS851977 HRO851975:HRO851977 IBK851975:IBK851977 ILG851975:ILG851977 IVC851975:IVC851977 JEY851975:JEY851977 JOU851975:JOU851977 JYQ851975:JYQ851977 KIM851975:KIM851977 KSI851975:KSI851977 LCE851975:LCE851977 LMA851975:LMA851977 LVW851975:LVW851977 MFS851975:MFS851977 MPO851975:MPO851977 MZK851975:MZK851977 NJG851975:NJG851977 NTC851975:NTC851977 OCY851975:OCY851977 OMU851975:OMU851977 OWQ851975:OWQ851977 PGM851975:PGM851977 PQI851975:PQI851977 QAE851975:QAE851977 QKA851975:QKA851977 QTW851975:QTW851977 RDS851975:RDS851977 RNO851975:RNO851977 RXK851975:RXK851977 SHG851975:SHG851977 SRC851975:SRC851977 TAY851975:TAY851977 TKU851975:TKU851977 TUQ851975:TUQ851977 UEM851975:UEM851977 UOI851975:UOI851977 UYE851975:UYE851977 VIA851975:VIA851977 VRW851975:VRW851977 WBS851975:WBS851977 WLO851975:WLO851977 WVK851975:WVK851977 C917511:C917513 IY917511:IY917513 SU917511:SU917513 ACQ917511:ACQ917513 AMM917511:AMM917513 AWI917511:AWI917513 BGE917511:BGE917513 BQA917511:BQA917513 BZW917511:BZW917513 CJS917511:CJS917513 CTO917511:CTO917513 DDK917511:DDK917513 DNG917511:DNG917513 DXC917511:DXC917513 EGY917511:EGY917513 EQU917511:EQU917513 FAQ917511:FAQ917513 FKM917511:FKM917513 FUI917511:FUI917513 GEE917511:GEE917513 GOA917511:GOA917513 GXW917511:GXW917513 HHS917511:HHS917513 HRO917511:HRO917513 IBK917511:IBK917513 ILG917511:ILG917513 IVC917511:IVC917513 JEY917511:JEY917513 JOU917511:JOU917513 JYQ917511:JYQ917513 KIM917511:KIM917513 KSI917511:KSI917513 LCE917511:LCE917513 LMA917511:LMA917513 LVW917511:LVW917513 MFS917511:MFS917513 MPO917511:MPO917513 MZK917511:MZK917513 NJG917511:NJG917513 NTC917511:NTC917513 OCY917511:OCY917513 OMU917511:OMU917513 OWQ917511:OWQ917513 PGM917511:PGM917513 PQI917511:PQI917513 QAE917511:QAE917513 QKA917511:QKA917513 QTW917511:QTW917513 RDS917511:RDS917513 RNO917511:RNO917513 RXK917511:RXK917513 SHG917511:SHG917513 SRC917511:SRC917513 TAY917511:TAY917513 TKU917511:TKU917513 TUQ917511:TUQ917513 UEM917511:UEM917513 UOI917511:UOI917513 UYE917511:UYE917513 VIA917511:VIA917513 VRW917511:VRW917513 WBS917511:WBS917513 WLO917511:WLO917513 WVK917511:WVK917513 C983047:C983049 IY983047:IY983049 SU983047:SU983049 ACQ983047:ACQ983049 AMM983047:AMM983049 AWI983047:AWI983049 BGE983047:BGE983049 BQA983047:BQA983049 BZW983047:BZW983049 CJS983047:CJS983049 CTO983047:CTO983049 DDK983047:DDK983049 DNG983047:DNG983049 DXC983047:DXC983049 EGY983047:EGY983049 EQU983047:EQU983049 FAQ983047:FAQ983049 FKM983047:FKM983049 FUI983047:FUI983049 GEE983047:GEE983049 GOA983047:GOA983049 GXW983047:GXW983049 HHS983047:HHS983049 HRO983047:HRO983049 IBK983047:IBK983049 ILG983047:ILG983049 IVC983047:IVC983049 JEY983047:JEY983049 JOU983047:JOU983049 JYQ983047:JYQ983049 KIM983047:KIM983049 KSI983047:KSI983049 LCE983047:LCE983049 LMA983047:LMA983049 LVW983047:LVW983049 MFS983047:MFS983049 MPO983047:MPO983049 MZK983047:MZK983049 NJG983047:NJG983049 NTC983047:NTC983049 OCY983047:OCY983049 OMU983047:OMU983049 OWQ983047:OWQ983049 PGM983047:PGM983049 PQI983047:PQI983049 QAE983047:QAE983049 QKA983047:QKA983049 QTW983047:QTW983049 RDS983047:RDS983049 RNO983047:RNO983049 RXK983047:RXK983049 SHG983047:SHG983049 SRC983047:SRC983049 TAY983047:TAY983049 TKU983047:TKU983049 TUQ983047:TUQ983049 UEM983047:UEM983049 UOI983047:UOI983049 UYE983047:UYE983049 VIA983047:VIA983049 VRW983047:VRW983049 WBS983047:WBS983049 WLO983047:WLO983049 WVK983047:WVK983049" xr:uid="{C8C0CB72-B586-4CED-B9C6-7495484DF52D}">
      <formula1>$C$21:$N$21</formula1>
    </dataValidation>
    <dataValidation type="textLength" operator="lessThanOrEqual" allowBlank="1" showInputMessage="1" showErrorMessage="1" errorTitle="Máximo 2.000 caracteres" error="Máximo 2.000 caracteres" promptTitle="2.000 caracteres" sqref="WVY983070:WWL983070 JM30:JZ30 TI30:TV30 ADE30:ADR30 ANA30:ANN30 AWW30:AXJ30 BGS30:BHF30 BQO30:BRB30 CAK30:CAX30 CKG30:CKT30 CUC30:CUP30 DDY30:DEL30 DNU30:DOH30 DXQ30:DYD30 EHM30:EHZ30 ERI30:ERV30 FBE30:FBR30 FLA30:FLN30 FUW30:FVJ30 GES30:GFF30 GOO30:GPB30 GYK30:GYX30 HIG30:HIT30 HSC30:HSP30 IBY30:ICL30 ILU30:IMH30 IVQ30:IWD30 JFM30:JFZ30 JPI30:JPV30 JZE30:JZR30 KJA30:KJN30 KSW30:KTJ30 LCS30:LDF30 LMO30:LNB30 LWK30:LWX30 MGG30:MGT30 MQC30:MQP30 MZY30:NAL30 NJU30:NKH30 NTQ30:NUD30 ODM30:ODZ30 ONI30:ONV30 OXE30:OXR30 PHA30:PHN30 PQW30:PRJ30 QAS30:QBF30 QKO30:QLB30 QUK30:QUX30 REG30:RET30 ROC30:ROP30 RXY30:RYL30 SHU30:SIH30 SRQ30:SSD30 TBM30:TBZ30 TLI30:TLV30 TVE30:TVR30 UFA30:UFN30 UOW30:UPJ30 UYS30:UZF30 VIO30:VJB30 VSK30:VSX30 WCG30:WCT30 WMC30:WMP30 WVY30:WWL30 Q65566:AD65566 JM65566:JZ65566 TI65566:TV65566 ADE65566:ADR65566 ANA65566:ANN65566 AWW65566:AXJ65566 BGS65566:BHF65566 BQO65566:BRB65566 CAK65566:CAX65566 CKG65566:CKT65566 CUC65566:CUP65566 DDY65566:DEL65566 DNU65566:DOH65566 DXQ65566:DYD65566 EHM65566:EHZ65566 ERI65566:ERV65566 FBE65566:FBR65566 FLA65566:FLN65566 FUW65566:FVJ65566 GES65566:GFF65566 GOO65566:GPB65566 GYK65566:GYX65566 HIG65566:HIT65566 HSC65566:HSP65566 IBY65566:ICL65566 ILU65566:IMH65566 IVQ65566:IWD65566 JFM65566:JFZ65566 JPI65566:JPV65566 JZE65566:JZR65566 KJA65566:KJN65566 KSW65566:KTJ65566 LCS65566:LDF65566 LMO65566:LNB65566 LWK65566:LWX65566 MGG65566:MGT65566 MQC65566:MQP65566 MZY65566:NAL65566 NJU65566:NKH65566 NTQ65566:NUD65566 ODM65566:ODZ65566 ONI65566:ONV65566 OXE65566:OXR65566 PHA65566:PHN65566 PQW65566:PRJ65566 QAS65566:QBF65566 QKO65566:QLB65566 QUK65566:QUX65566 REG65566:RET65566 ROC65566:ROP65566 RXY65566:RYL65566 SHU65566:SIH65566 SRQ65566:SSD65566 TBM65566:TBZ65566 TLI65566:TLV65566 TVE65566:TVR65566 UFA65566:UFN65566 UOW65566:UPJ65566 UYS65566:UZF65566 VIO65566:VJB65566 VSK65566:VSX65566 WCG65566:WCT65566 WMC65566:WMP65566 WVY65566:WWL65566 Q131102:AD131102 JM131102:JZ131102 TI131102:TV131102 ADE131102:ADR131102 ANA131102:ANN131102 AWW131102:AXJ131102 BGS131102:BHF131102 BQO131102:BRB131102 CAK131102:CAX131102 CKG131102:CKT131102 CUC131102:CUP131102 DDY131102:DEL131102 DNU131102:DOH131102 DXQ131102:DYD131102 EHM131102:EHZ131102 ERI131102:ERV131102 FBE131102:FBR131102 FLA131102:FLN131102 FUW131102:FVJ131102 GES131102:GFF131102 GOO131102:GPB131102 GYK131102:GYX131102 HIG131102:HIT131102 HSC131102:HSP131102 IBY131102:ICL131102 ILU131102:IMH131102 IVQ131102:IWD131102 JFM131102:JFZ131102 JPI131102:JPV131102 JZE131102:JZR131102 KJA131102:KJN131102 KSW131102:KTJ131102 LCS131102:LDF131102 LMO131102:LNB131102 LWK131102:LWX131102 MGG131102:MGT131102 MQC131102:MQP131102 MZY131102:NAL131102 NJU131102:NKH131102 NTQ131102:NUD131102 ODM131102:ODZ131102 ONI131102:ONV131102 OXE131102:OXR131102 PHA131102:PHN131102 PQW131102:PRJ131102 QAS131102:QBF131102 QKO131102:QLB131102 QUK131102:QUX131102 REG131102:RET131102 ROC131102:ROP131102 RXY131102:RYL131102 SHU131102:SIH131102 SRQ131102:SSD131102 TBM131102:TBZ131102 TLI131102:TLV131102 TVE131102:TVR131102 UFA131102:UFN131102 UOW131102:UPJ131102 UYS131102:UZF131102 VIO131102:VJB131102 VSK131102:VSX131102 WCG131102:WCT131102 WMC131102:WMP131102 WVY131102:WWL131102 Q196638:AD196638 JM196638:JZ196638 TI196638:TV196638 ADE196638:ADR196638 ANA196638:ANN196638 AWW196638:AXJ196638 BGS196638:BHF196638 BQO196638:BRB196638 CAK196638:CAX196638 CKG196638:CKT196638 CUC196638:CUP196638 DDY196638:DEL196638 DNU196638:DOH196638 DXQ196638:DYD196638 EHM196638:EHZ196638 ERI196638:ERV196638 FBE196638:FBR196638 FLA196638:FLN196638 FUW196638:FVJ196638 GES196638:GFF196638 GOO196638:GPB196638 GYK196638:GYX196638 HIG196638:HIT196638 HSC196638:HSP196638 IBY196638:ICL196638 ILU196638:IMH196638 IVQ196638:IWD196638 JFM196638:JFZ196638 JPI196638:JPV196638 JZE196638:JZR196638 KJA196638:KJN196638 KSW196638:KTJ196638 LCS196638:LDF196638 LMO196638:LNB196638 LWK196638:LWX196638 MGG196638:MGT196638 MQC196638:MQP196638 MZY196638:NAL196638 NJU196638:NKH196638 NTQ196638:NUD196638 ODM196638:ODZ196638 ONI196638:ONV196638 OXE196638:OXR196638 PHA196638:PHN196638 PQW196638:PRJ196638 QAS196638:QBF196638 QKO196638:QLB196638 QUK196638:QUX196638 REG196638:RET196638 ROC196638:ROP196638 RXY196638:RYL196638 SHU196638:SIH196638 SRQ196638:SSD196638 TBM196638:TBZ196638 TLI196638:TLV196638 TVE196638:TVR196638 UFA196638:UFN196638 UOW196638:UPJ196638 UYS196638:UZF196638 VIO196638:VJB196638 VSK196638:VSX196638 WCG196638:WCT196638 WMC196638:WMP196638 WVY196638:WWL196638 Q262174:AD262174 JM262174:JZ262174 TI262174:TV262174 ADE262174:ADR262174 ANA262174:ANN262174 AWW262174:AXJ262174 BGS262174:BHF262174 BQO262174:BRB262174 CAK262174:CAX262174 CKG262174:CKT262174 CUC262174:CUP262174 DDY262174:DEL262174 DNU262174:DOH262174 DXQ262174:DYD262174 EHM262174:EHZ262174 ERI262174:ERV262174 FBE262174:FBR262174 FLA262174:FLN262174 FUW262174:FVJ262174 GES262174:GFF262174 GOO262174:GPB262174 GYK262174:GYX262174 HIG262174:HIT262174 HSC262174:HSP262174 IBY262174:ICL262174 ILU262174:IMH262174 IVQ262174:IWD262174 JFM262174:JFZ262174 JPI262174:JPV262174 JZE262174:JZR262174 KJA262174:KJN262174 KSW262174:KTJ262174 LCS262174:LDF262174 LMO262174:LNB262174 LWK262174:LWX262174 MGG262174:MGT262174 MQC262174:MQP262174 MZY262174:NAL262174 NJU262174:NKH262174 NTQ262174:NUD262174 ODM262174:ODZ262174 ONI262174:ONV262174 OXE262174:OXR262174 PHA262174:PHN262174 PQW262174:PRJ262174 QAS262174:QBF262174 QKO262174:QLB262174 QUK262174:QUX262174 REG262174:RET262174 ROC262174:ROP262174 RXY262174:RYL262174 SHU262174:SIH262174 SRQ262174:SSD262174 TBM262174:TBZ262174 TLI262174:TLV262174 TVE262174:TVR262174 UFA262174:UFN262174 UOW262174:UPJ262174 UYS262174:UZF262174 VIO262174:VJB262174 VSK262174:VSX262174 WCG262174:WCT262174 WMC262174:WMP262174 WVY262174:WWL262174 Q327710:AD327710 JM327710:JZ327710 TI327710:TV327710 ADE327710:ADR327710 ANA327710:ANN327710 AWW327710:AXJ327710 BGS327710:BHF327710 BQO327710:BRB327710 CAK327710:CAX327710 CKG327710:CKT327710 CUC327710:CUP327710 DDY327710:DEL327710 DNU327710:DOH327710 DXQ327710:DYD327710 EHM327710:EHZ327710 ERI327710:ERV327710 FBE327710:FBR327710 FLA327710:FLN327710 FUW327710:FVJ327710 GES327710:GFF327710 GOO327710:GPB327710 GYK327710:GYX327710 HIG327710:HIT327710 HSC327710:HSP327710 IBY327710:ICL327710 ILU327710:IMH327710 IVQ327710:IWD327710 JFM327710:JFZ327710 JPI327710:JPV327710 JZE327710:JZR327710 KJA327710:KJN327710 KSW327710:KTJ327710 LCS327710:LDF327710 LMO327710:LNB327710 LWK327710:LWX327710 MGG327710:MGT327710 MQC327710:MQP327710 MZY327710:NAL327710 NJU327710:NKH327710 NTQ327710:NUD327710 ODM327710:ODZ327710 ONI327710:ONV327710 OXE327710:OXR327710 PHA327710:PHN327710 PQW327710:PRJ327710 QAS327710:QBF327710 QKO327710:QLB327710 QUK327710:QUX327710 REG327710:RET327710 ROC327710:ROP327710 RXY327710:RYL327710 SHU327710:SIH327710 SRQ327710:SSD327710 TBM327710:TBZ327710 TLI327710:TLV327710 TVE327710:TVR327710 UFA327710:UFN327710 UOW327710:UPJ327710 UYS327710:UZF327710 VIO327710:VJB327710 VSK327710:VSX327710 WCG327710:WCT327710 WMC327710:WMP327710 WVY327710:WWL327710 Q393246:AD393246 JM393246:JZ393246 TI393246:TV393246 ADE393246:ADR393246 ANA393246:ANN393246 AWW393246:AXJ393246 BGS393246:BHF393246 BQO393246:BRB393246 CAK393246:CAX393246 CKG393246:CKT393246 CUC393246:CUP393246 DDY393246:DEL393246 DNU393246:DOH393246 DXQ393246:DYD393246 EHM393246:EHZ393246 ERI393246:ERV393246 FBE393246:FBR393246 FLA393246:FLN393246 FUW393246:FVJ393246 GES393246:GFF393246 GOO393246:GPB393246 GYK393246:GYX393246 HIG393246:HIT393246 HSC393246:HSP393246 IBY393246:ICL393246 ILU393246:IMH393246 IVQ393246:IWD393246 JFM393246:JFZ393246 JPI393246:JPV393246 JZE393246:JZR393246 KJA393246:KJN393246 KSW393246:KTJ393246 LCS393246:LDF393246 LMO393246:LNB393246 LWK393246:LWX393246 MGG393246:MGT393246 MQC393246:MQP393246 MZY393246:NAL393246 NJU393246:NKH393246 NTQ393246:NUD393246 ODM393246:ODZ393246 ONI393246:ONV393246 OXE393246:OXR393246 PHA393246:PHN393246 PQW393246:PRJ393246 QAS393246:QBF393246 QKO393246:QLB393246 QUK393246:QUX393246 REG393246:RET393246 ROC393246:ROP393246 RXY393246:RYL393246 SHU393246:SIH393246 SRQ393246:SSD393246 TBM393246:TBZ393246 TLI393246:TLV393246 TVE393246:TVR393246 UFA393246:UFN393246 UOW393246:UPJ393246 UYS393246:UZF393246 VIO393246:VJB393246 VSK393246:VSX393246 WCG393246:WCT393246 WMC393246:WMP393246 WVY393246:WWL393246 Q458782:AD458782 JM458782:JZ458782 TI458782:TV458782 ADE458782:ADR458782 ANA458782:ANN458782 AWW458782:AXJ458782 BGS458782:BHF458782 BQO458782:BRB458782 CAK458782:CAX458782 CKG458782:CKT458782 CUC458782:CUP458782 DDY458782:DEL458782 DNU458782:DOH458782 DXQ458782:DYD458782 EHM458782:EHZ458782 ERI458782:ERV458782 FBE458782:FBR458782 FLA458782:FLN458782 FUW458782:FVJ458782 GES458782:GFF458782 GOO458782:GPB458782 GYK458782:GYX458782 HIG458782:HIT458782 HSC458782:HSP458782 IBY458782:ICL458782 ILU458782:IMH458782 IVQ458782:IWD458782 JFM458782:JFZ458782 JPI458782:JPV458782 JZE458782:JZR458782 KJA458782:KJN458782 KSW458782:KTJ458782 LCS458782:LDF458782 LMO458782:LNB458782 LWK458782:LWX458782 MGG458782:MGT458782 MQC458782:MQP458782 MZY458782:NAL458782 NJU458782:NKH458782 NTQ458782:NUD458782 ODM458782:ODZ458782 ONI458782:ONV458782 OXE458782:OXR458782 PHA458782:PHN458782 PQW458782:PRJ458782 QAS458782:QBF458782 QKO458782:QLB458782 QUK458782:QUX458782 REG458782:RET458782 ROC458782:ROP458782 RXY458782:RYL458782 SHU458782:SIH458782 SRQ458782:SSD458782 TBM458782:TBZ458782 TLI458782:TLV458782 TVE458782:TVR458782 UFA458782:UFN458782 UOW458782:UPJ458782 UYS458782:UZF458782 VIO458782:VJB458782 VSK458782:VSX458782 WCG458782:WCT458782 WMC458782:WMP458782 WVY458782:WWL458782 Q524318:AD524318 JM524318:JZ524318 TI524318:TV524318 ADE524318:ADR524318 ANA524318:ANN524318 AWW524318:AXJ524318 BGS524318:BHF524318 BQO524318:BRB524318 CAK524318:CAX524318 CKG524318:CKT524318 CUC524318:CUP524318 DDY524318:DEL524318 DNU524318:DOH524318 DXQ524318:DYD524318 EHM524318:EHZ524318 ERI524318:ERV524318 FBE524318:FBR524318 FLA524318:FLN524318 FUW524318:FVJ524318 GES524318:GFF524318 GOO524318:GPB524318 GYK524318:GYX524318 HIG524318:HIT524318 HSC524318:HSP524318 IBY524318:ICL524318 ILU524318:IMH524318 IVQ524318:IWD524318 JFM524318:JFZ524318 JPI524318:JPV524318 JZE524318:JZR524318 KJA524318:KJN524318 KSW524318:KTJ524318 LCS524318:LDF524318 LMO524318:LNB524318 LWK524318:LWX524318 MGG524318:MGT524318 MQC524318:MQP524318 MZY524318:NAL524318 NJU524318:NKH524318 NTQ524318:NUD524318 ODM524318:ODZ524318 ONI524318:ONV524318 OXE524318:OXR524318 PHA524318:PHN524318 PQW524318:PRJ524318 QAS524318:QBF524318 QKO524318:QLB524318 QUK524318:QUX524318 REG524318:RET524318 ROC524318:ROP524318 RXY524318:RYL524318 SHU524318:SIH524318 SRQ524318:SSD524318 TBM524318:TBZ524318 TLI524318:TLV524318 TVE524318:TVR524318 UFA524318:UFN524318 UOW524318:UPJ524318 UYS524318:UZF524318 VIO524318:VJB524318 VSK524318:VSX524318 WCG524318:WCT524318 WMC524318:WMP524318 WVY524318:WWL524318 Q589854:AD589854 JM589854:JZ589854 TI589854:TV589854 ADE589854:ADR589854 ANA589854:ANN589854 AWW589854:AXJ589854 BGS589854:BHF589854 BQO589854:BRB589854 CAK589854:CAX589854 CKG589854:CKT589854 CUC589854:CUP589854 DDY589854:DEL589854 DNU589854:DOH589854 DXQ589854:DYD589854 EHM589854:EHZ589854 ERI589854:ERV589854 FBE589854:FBR589854 FLA589854:FLN589854 FUW589854:FVJ589854 GES589854:GFF589854 GOO589854:GPB589854 GYK589854:GYX589854 HIG589854:HIT589854 HSC589854:HSP589854 IBY589854:ICL589854 ILU589854:IMH589854 IVQ589854:IWD589854 JFM589854:JFZ589854 JPI589854:JPV589854 JZE589854:JZR589854 KJA589854:KJN589854 KSW589854:KTJ589854 LCS589854:LDF589854 LMO589854:LNB589854 LWK589854:LWX589854 MGG589854:MGT589854 MQC589854:MQP589854 MZY589854:NAL589854 NJU589854:NKH589854 NTQ589854:NUD589854 ODM589854:ODZ589854 ONI589854:ONV589854 OXE589854:OXR589854 PHA589854:PHN589854 PQW589854:PRJ589854 QAS589854:QBF589854 QKO589854:QLB589854 QUK589854:QUX589854 REG589854:RET589854 ROC589854:ROP589854 RXY589854:RYL589854 SHU589854:SIH589854 SRQ589854:SSD589854 TBM589854:TBZ589854 TLI589854:TLV589854 TVE589854:TVR589854 UFA589854:UFN589854 UOW589854:UPJ589854 UYS589854:UZF589854 VIO589854:VJB589854 VSK589854:VSX589854 WCG589854:WCT589854 WMC589854:WMP589854 WVY589854:WWL589854 Q655390:AD655390 JM655390:JZ655390 TI655390:TV655390 ADE655390:ADR655390 ANA655390:ANN655390 AWW655390:AXJ655390 BGS655390:BHF655390 BQO655390:BRB655390 CAK655390:CAX655390 CKG655390:CKT655390 CUC655390:CUP655390 DDY655390:DEL655390 DNU655390:DOH655390 DXQ655390:DYD655390 EHM655390:EHZ655390 ERI655390:ERV655390 FBE655390:FBR655390 FLA655390:FLN655390 FUW655390:FVJ655390 GES655390:GFF655390 GOO655390:GPB655390 GYK655390:GYX655390 HIG655390:HIT655390 HSC655390:HSP655390 IBY655390:ICL655390 ILU655390:IMH655390 IVQ655390:IWD655390 JFM655390:JFZ655390 JPI655390:JPV655390 JZE655390:JZR655390 KJA655390:KJN655390 KSW655390:KTJ655390 LCS655390:LDF655390 LMO655390:LNB655390 LWK655390:LWX655390 MGG655390:MGT655390 MQC655390:MQP655390 MZY655390:NAL655390 NJU655390:NKH655390 NTQ655390:NUD655390 ODM655390:ODZ655390 ONI655390:ONV655390 OXE655390:OXR655390 PHA655390:PHN655390 PQW655390:PRJ655390 QAS655390:QBF655390 QKO655390:QLB655390 QUK655390:QUX655390 REG655390:RET655390 ROC655390:ROP655390 RXY655390:RYL655390 SHU655390:SIH655390 SRQ655390:SSD655390 TBM655390:TBZ655390 TLI655390:TLV655390 TVE655390:TVR655390 UFA655390:UFN655390 UOW655390:UPJ655390 UYS655390:UZF655390 VIO655390:VJB655390 VSK655390:VSX655390 WCG655390:WCT655390 WMC655390:WMP655390 WVY655390:WWL655390 Q720926:AD720926 JM720926:JZ720926 TI720926:TV720926 ADE720926:ADR720926 ANA720926:ANN720926 AWW720926:AXJ720926 BGS720926:BHF720926 BQO720926:BRB720926 CAK720926:CAX720926 CKG720926:CKT720926 CUC720926:CUP720926 DDY720926:DEL720926 DNU720926:DOH720926 DXQ720926:DYD720926 EHM720926:EHZ720926 ERI720926:ERV720926 FBE720926:FBR720926 FLA720926:FLN720926 FUW720926:FVJ720926 GES720926:GFF720926 GOO720926:GPB720926 GYK720926:GYX720926 HIG720926:HIT720926 HSC720926:HSP720926 IBY720926:ICL720926 ILU720926:IMH720926 IVQ720926:IWD720926 JFM720926:JFZ720926 JPI720926:JPV720926 JZE720926:JZR720926 KJA720926:KJN720926 KSW720926:KTJ720926 LCS720926:LDF720926 LMO720926:LNB720926 LWK720926:LWX720926 MGG720926:MGT720926 MQC720926:MQP720926 MZY720926:NAL720926 NJU720926:NKH720926 NTQ720926:NUD720926 ODM720926:ODZ720926 ONI720926:ONV720926 OXE720926:OXR720926 PHA720926:PHN720926 PQW720926:PRJ720926 QAS720926:QBF720926 QKO720926:QLB720926 QUK720926:QUX720926 REG720926:RET720926 ROC720926:ROP720926 RXY720926:RYL720926 SHU720926:SIH720926 SRQ720926:SSD720926 TBM720926:TBZ720926 TLI720926:TLV720926 TVE720926:TVR720926 UFA720926:UFN720926 UOW720926:UPJ720926 UYS720926:UZF720926 VIO720926:VJB720926 VSK720926:VSX720926 WCG720926:WCT720926 WMC720926:WMP720926 WVY720926:WWL720926 Q786462:AD786462 JM786462:JZ786462 TI786462:TV786462 ADE786462:ADR786462 ANA786462:ANN786462 AWW786462:AXJ786462 BGS786462:BHF786462 BQO786462:BRB786462 CAK786462:CAX786462 CKG786462:CKT786462 CUC786462:CUP786462 DDY786462:DEL786462 DNU786462:DOH786462 DXQ786462:DYD786462 EHM786462:EHZ786462 ERI786462:ERV786462 FBE786462:FBR786462 FLA786462:FLN786462 FUW786462:FVJ786462 GES786462:GFF786462 GOO786462:GPB786462 GYK786462:GYX786462 HIG786462:HIT786462 HSC786462:HSP786462 IBY786462:ICL786462 ILU786462:IMH786462 IVQ786462:IWD786462 JFM786462:JFZ786462 JPI786462:JPV786462 JZE786462:JZR786462 KJA786462:KJN786462 KSW786462:KTJ786462 LCS786462:LDF786462 LMO786462:LNB786462 LWK786462:LWX786462 MGG786462:MGT786462 MQC786462:MQP786462 MZY786462:NAL786462 NJU786462:NKH786462 NTQ786462:NUD786462 ODM786462:ODZ786462 ONI786462:ONV786462 OXE786462:OXR786462 PHA786462:PHN786462 PQW786462:PRJ786462 QAS786462:QBF786462 QKO786462:QLB786462 QUK786462:QUX786462 REG786462:RET786462 ROC786462:ROP786462 RXY786462:RYL786462 SHU786462:SIH786462 SRQ786462:SSD786462 TBM786462:TBZ786462 TLI786462:TLV786462 TVE786462:TVR786462 UFA786462:UFN786462 UOW786462:UPJ786462 UYS786462:UZF786462 VIO786462:VJB786462 VSK786462:VSX786462 WCG786462:WCT786462 WMC786462:WMP786462 WVY786462:WWL786462 Q851998:AD851998 JM851998:JZ851998 TI851998:TV851998 ADE851998:ADR851998 ANA851998:ANN851998 AWW851998:AXJ851998 BGS851998:BHF851998 BQO851998:BRB851998 CAK851998:CAX851998 CKG851998:CKT851998 CUC851998:CUP851998 DDY851998:DEL851998 DNU851998:DOH851998 DXQ851998:DYD851998 EHM851998:EHZ851998 ERI851998:ERV851998 FBE851998:FBR851998 FLA851998:FLN851998 FUW851998:FVJ851998 GES851998:GFF851998 GOO851998:GPB851998 GYK851998:GYX851998 HIG851998:HIT851998 HSC851998:HSP851998 IBY851998:ICL851998 ILU851998:IMH851998 IVQ851998:IWD851998 JFM851998:JFZ851998 JPI851998:JPV851998 JZE851998:JZR851998 KJA851998:KJN851998 KSW851998:KTJ851998 LCS851998:LDF851998 LMO851998:LNB851998 LWK851998:LWX851998 MGG851998:MGT851998 MQC851998:MQP851998 MZY851998:NAL851998 NJU851998:NKH851998 NTQ851998:NUD851998 ODM851998:ODZ851998 ONI851998:ONV851998 OXE851998:OXR851998 PHA851998:PHN851998 PQW851998:PRJ851998 QAS851998:QBF851998 QKO851998:QLB851998 QUK851998:QUX851998 REG851998:RET851998 ROC851998:ROP851998 RXY851998:RYL851998 SHU851998:SIH851998 SRQ851998:SSD851998 TBM851998:TBZ851998 TLI851998:TLV851998 TVE851998:TVR851998 UFA851998:UFN851998 UOW851998:UPJ851998 UYS851998:UZF851998 VIO851998:VJB851998 VSK851998:VSX851998 WCG851998:WCT851998 WMC851998:WMP851998 WVY851998:WWL851998 Q917534:AD917534 JM917534:JZ917534 TI917534:TV917534 ADE917534:ADR917534 ANA917534:ANN917534 AWW917534:AXJ917534 BGS917534:BHF917534 BQO917534:BRB917534 CAK917534:CAX917534 CKG917534:CKT917534 CUC917534:CUP917534 DDY917534:DEL917534 DNU917534:DOH917534 DXQ917534:DYD917534 EHM917534:EHZ917534 ERI917534:ERV917534 FBE917534:FBR917534 FLA917534:FLN917534 FUW917534:FVJ917534 GES917534:GFF917534 GOO917534:GPB917534 GYK917534:GYX917534 HIG917534:HIT917534 HSC917534:HSP917534 IBY917534:ICL917534 ILU917534:IMH917534 IVQ917534:IWD917534 JFM917534:JFZ917534 JPI917534:JPV917534 JZE917534:JZR917534 KJA917534:KJN917534 KSW917534:KTJ917534 LCS917534:LDF917534 LMO917534:LNB917534 LWK917534:LWX917534 MGG917534:MGT917534 MQC917534:MQP917534 MZY917534:NAL917534 NJU917534:NKH917534 NTQ917534:NUD917534 ODM917534:ODZ917534 ONI917534:ONV917534 OXE917534:OXR917534 PHA917534:PHN917534 PQW917534:PRJ917534 QAS917534:QBF917534 QKO917534:QLB917534 QUK917534:QUX917534 REG917534:RET917534 ROC917534:ROP917534 RXY917534:RYL917534 SHU917534:SIH917534 SRQ917534:SSD917534 TBM917534:TBZ917534 TLI917534:TLV917534 TVE917534:TVR917534 UFA917534:UFN917534 UOW917534:UPJ917534 UYS917534:UZF917534 VIO917534:VJB917534 VSK917534:VSX917534 WCG917534:WCT917534 WMC917534:WMP917534 WVY917534:WWL917534 Q983070:AD983070 JM983070:JZ983070 TI983070:TV983070 ADE983070:ADR983070 ANA983070:ANN983070 AWW983070:AXJ983070 BGS983070:BHF983070 BQO983070:BRB983070 CAK983070:CAX983070 CKG983070:CKT983070 CUC983070:CUP983070 DDY983070:DEL983070 DNU983070:DOH983070 DXQ983070:DYD983070 EHM983070:EHZ983070 ERI983070:ERV983070 FBE983070:FBR983070 FLA983070:FLN983070 FUW983070:FVJ983070 GES983070:GFF983070 GOO983070:GPB983070 GYK983070:GYX983070 HIG983070:HIT983070 HSC983070:HSP983070 IBY983070:ICL983070 ILU983070:IMH983070 IVQ983070:IWD983070 JFM983070:JFZ983070 JPI983070:JPV983070 JZE983070:JZR983070 KJA983070:KJN983070 KSW983070:KTJ983070 LCS983070:LDF983070 LMO983070:LNB983070 LWK983070:LWX983070 MGG983070:MGT983070 MQC983070:MQP983070 MZY983070:NAL983070 NJU983070:NKH983070 NTQ983070:NUD983070 ODM983070:ODZ983070 ONI983070:ONV983070 OXE983070:OXR983070 PHA983070:PHN983070 PQW983070:PRJ983070 QAS983070:QBF983070 QKO983070:QLB983070 QUK983070:QUX983070 REG983070:RET983070 ROC983070:ROP983070 RXY983070:RYL983070 SHU983070:SIH983070 SRQ983070:SSD983070 TBM983070:TBZ983070 TLI983070:TLV983070 TVE983070:TVR983070 UFA983070:UFN983070 UOW983070:UPJ983070 UYS983070:UZF983070 VIO983070:VJB983070 VSK983070:VSX983070 WCG983070:WCT983070 WMC983070:WMP983070 Q30:AD30" xr:uid="{E09B5759-E503-4316-8062-6214A6937D52}">
      <formula1>2000</formula1>
    </dataValidation>
    <dataValidation type="textLength" operator="lessThanOrEqual" allowBlank="1" showInputMessage="1" showErrorMessage="1" errorTitle="Máximo 2.000 caracteres" error="Máximo 2.000 caracteres" sqref="AA34 JW34 TS34 ADO34 ANK34 AXG34 BHC34 BQY34 CAU34 CKQ34 CUM34 DEI34 DOE34 DYA34 EHW34 ERS34 FBO34 FLK34 FVG34 GFC34 GOY34 GYU34 HIQ34 HSM34 ICI34 IME34 IWA34 JFW34 JPS34 JZO34 KJK34 KTG34 LDC34 LMY34 LWU34 MGQ34 MQM34 NAI34 NKE34 NUA34 ODW34 ONS34 OXO34 PHK34 PRG34 QBC34 QKY34 QUU34 REQ34 ROM34 RYI34 SIE34 SSA34 TBW34 TLS34 TVO34 UFK34 UPG34 UZC34 VIY34 VSU34 WCQ34 WMM34 WWI34 AA65570 JW65570 TS65570 ADO65570 ANK65570 AXG65570 BHC65570 BQY65570 CAU65570 CKQ65570 CUM65570 DEI65570 DOE65570 DYA65570 EHW65570 ERS65570 FBO65570 FLK65570 FVG65570 GFC65570 GOY65570 GYU65570 HIQ65570 HSM65570 ICI65570 IME65570 IWA65570 JFW65570 JPS65570 JZO65570 KJK65570 KTG65570 LDC65570 LMY65570 LWU65570 MGQ65570 MQM65570 NAI65570 NKE65570 NUA65570 ODW65570 ONS65570 OXO65570 PHK65570 PRG65570 QBC65570 QKY65570 QUU65570 REQ65570 ROM65570 RYI65570 SIE65570 SSA65570 TBW65570 TLS65570 TVO65570 UFK65570 UPG65570 UZC65570 VIY65570 VSU65570 WCQ65570 WMM65570 WWI65570 AA131106 JW131106 TS131106 ADO131106 ANK131106 AXG131106 BHC131106 BQY131106 CAU131106 CKQ131106 CUM131106 DEI131106 DOE131106 DYA131106 EHW131106 ERS131106 FBO131106 FLK131106 FVG131106 GFC131106 GOY131106 GYU131106 HIQ131106 HSM131106 ICI131106 IME131106 IWA131106 JFW131106 JPS131106 JZO131106 KJK131106 KTG131106 LDC131106 LMY131106 LWU131106 MGQ131106 MQM131106 NAI131106 NKE131106 NUA131106 ODW131106 ONS131106 OXO131106 PHK131106 PRG131106 QBC131106 QKY131106 QUU131106 REQ131106 ROM131106 RYI131106 SIE131106 SSA131106 TBW131106 TLS131106 TVO131106 UFK131106 UPG131106 UZC131106 VIY131106 VSU131106 WCQ131106 WMM131106 WWI131106 AA196642 JW196642 TS196642 ADO196642 ANK196642 AXG196642 BHC196642 BQY196642 CAU196642 CKQ196642 CUM196642 DEI196642 DOE196642 DYA196642 EHW196642 ERS196642 FBO196642 FLK196642 FVG196642 GFC196642 GOY196642 GYU196642 HIQ196642 HSM196642 ICI196642 IME196642 IWA196642 JFW196642 JPS196642 JZO196642 KJK196642 KTG196642 LDC196642 LMY196642 LWU196642 MGQ196642 MQM196642 NAI196642 NKE196642 NUA196642 ODW196642 ONS196642 OXO196642 PHK196642 PRG196642 QBC196642 QKY196642 QUU196642 REQ196642 ROM196642 RYI196642 SIE196642 SSA196642 TBW196642 TLS196642 TVO196642 UFK196642 UPG196642 UZC196642 VIY196642 VSU196642 WCQ196642 WMM196642 WWI196642 AA262178 JW262178 TS262178 ADO262178 ANK262178 AXG262178 BHC262178 BQY262178 CAU262178 CKQ262178 CUM262178 DEI262178 DOE262178 DYA262178 EHW262178 ERS262178 FBO262178 FLK262178 FVG262178 GFC262178 GOY262178 GYU262178 HIQ262178 HSM262178 ICI262178 IME262178 IWA262178 JFW262178 JPS262178 JZO262178 KJK262178 KTG262178 LDC262178 LMY262178 LWU262178 MGQ262178 MQM262178 NAI262178 NKE262178 NUA262178 ODW262178 ONS262178 OXO262178 PHK262178 PRG262178 QBC262178 QKY262178 QUU262178 REQ262178 ROM262178 RYI262178 SIE262178 SSA262178 TBW262178 TLS262178 TVO262178 UFK262178 UPG262178 UZC262178 VIY262178 VSU262178 WCQ262178 WMM262178 WWI262178 AA327714 JW327714 TS327714 ADO327714 ANK327714 AXG327714 BHC327714 BQY327714 CAU327714 CKQ327714 CUM327714 DEI327714 DOE327714 DYA327714 EHW327714 ERS327714 FBO327714 FLK327714 FVG327714 GFC327714 GOY327714 GYU327714 HIQ327714 HSM327714 ICI327714 IME327714 IWA327714 JFW327714 JPS327714 JZO327714 KJK327714 KTG327714 LDC327714 LMY327714 LWU327714 MGQ327714 MQM327714 NAI327714 NKE327714 NUA327714 ODW327714 ONS327714 OXO327714 PHK327714 PRG327714 QBC327714 QKY327714 QUU327714 REQ327714 ROM327714 RYI327714 SIE327714 SSA327714 TBW327714 TLS327714 TVO327714 UFK327714 UPG327714 UZC327714 VIY327714 VSU327714 WCQ327714 WMM327714 WWI327714 AA393250 JW393250 TS393250 ADO393250 ANK393250 AXG393250 BHC393250 BQY393250 CAU393250 CKQ393250 CUM393250 DEI393250 DOE393250 DYA393250 EHW393250 ERS393250 FBO393250 FLK393250 FVG393250 GFC393250 GOY393250 GYU393250 HIQ393250 HSM393250 ICI393250 IME393250 IWA393250 JFW393250 JPS393250 JZO393250 KJK393250 KTG393250 LDC393250 LMY393250 LWU393250 MGQ393250 MQM393250 NAI393250 NKE393250 NUA393250 ODW393250 ONS393250 OXO393250 PHK393250 PRG393250 QBC393250 QKY393250 QUU393250 REQ393250 ROM393250 RYI393250 SIE393250 SSA393250 TBW393250 TLS393250 TVO393250 UFK393250 UPG393250 UZC393250 VIY393250 VSU393250 WCQ393250 WMM393250 WWI393250 AA458786 JW458786 TS458786 ADO458786 ANK458786 AXG458786 BHC458786 BQY458786 CAU458786 CKQ458786 CUM458786 DEI458786 DOE458786 DYA458786 EHW458786 ERS458786 FBO458786 FLK458786 FVG458786 GFC458786 GOY458786 GYU458786 HIQ458786 HSM458786 ICI458786 IME458786 IWA458786 JFW458786 JPS458786 JZO458786 KJK458786 KTG458786 LDC458786 LMY458786 LWU458786 MGQ458786 MQM458786 NAI458786 NKE458786 NUA458786 ODW458786 ONS458786 OXO458786 PHK458786 PRG458786 QBC458786 QKY458786 QUU458786 REQ458786 ROM458786 RYI458786 SIE458786 SSA458786 TBW458786 TLS458786 TVO458786 UFK458786 UPG458786 UZC458786 VIY458786 VSU458786 WCQ458786 WMM458786 WWI458786 AA524322 JW524322 TS524322 ADO524322 ANK524322 AXG524322 BHC524322 BQY524322 CAU524322 CKQ524322 CUM524322 DEI524322 DOE524322 DYA524322 EHW524322 ERS524322 FBO524322 FLK524322 FVG524322 GFC524322 GOY524322 GYU524322 HIQ524322 HSM524322 ICI524322 IME524322 IWA524322 JFW524322 JPS524322 JZO524322 KJK524322 KTG524322 LDC524322 LMY524322 LWU524322 MGQ524322 MQM524322 NAI524322 NKE524322 NUA524322 ODW524322 ONS524322 OXO524322 PHK524322 PRG524322 QBC524322 QKY524322 QUU524322 REQ524322 ROM524322 RYI524322 SIE524322 SSA524322 TBW524322 TLS524322 TVO524322 UFK524322 UPG524322 UZC524322 VIY524322 VSU524322 WCQ524322 WMM524322 WWI524322 AA589858 JW589858 TS589858 ADO589858 ANK589858 AXG589858 BHC589858 BQY589858 CAU589858 CKQ589858 CUM589858 DEI589858 DOE589858 DYA589858 EHW589858 ERS589858 FBO589858 FLK589858 FVG589858 GFC589858 GOY589858 GYU589858 HIQ589858 HSM589858 ICI589858 IME589858 IWA589858 JFW589858 JPS589858 JZO589858 KJK589858 KTG589858 LDC589858 LMY589858 LWU589858 MGQ589858 MQM589858 NAI589858 NKE589858 NUA589858 ODW589858 ONS589858 OXO589858 PHK589858 PRG589858 QBC589858 QKY589858 QUU589858 REQ589858 ROM589858 RYI589858 SIE589858 SSA589858 TBW589858 TLS589858 TVO589858 UFK589858 UPG589858 UZC589858 VIY589858 VSU589858 WCQ589858 WMM589858 WWI589858 AA655394 JW655394 TS655394 ADO655394 ANK655394 AXG655394 BHC655394 BQY655394 CAU655394 CKQ655394 CUM655394 DEI655394 DOE655394 DYA655394 EHW655394 ERS655394 FBO655394 FLK655394 FVG655394 GFC655394 GOY655394 GYU655394 HIQ655394 HSM655394 ICI655394 IME655394 IWA655394 JFW655394 JPS655394 JZO655394 KJK655394 KTG655394 LDC655394 LMY655394 LWU655394 MGQ655394 MQM655394 NAI655394 NKE655394 NUA655394 ODW655394 ONS655394 OXO655394 PHK655394 PRG655394 QBC655394 QKY655394 QUU655394 REQ655394 ROM655394 RYI655394 SIE655394 SSA655394 TBW655394 TLS655394 TVO655394 UFK655394 UPG655394 UZC655394 VIY655394 VSU655394 WCQ655394 WMM655394 WWI655394 AA720930 JW720930 TS720930 ADO720930 ANK720930 AXG720930 BHC720930 BQY720930 CAU720930 CKQ720930 CUM720930 DEI720930 DOE720930 DYA720930 EHW720930 ERS720930 FBO720930 FLK720930 FVG720930 GFC720930 GOY720930 GYU720930 HIQ720930 HSM720930 ICI720930 IME720930 IWA720930 JFW720930 JPS720930 JZO720930 KJK720930 KTG720930 LDC720930 LMY720930 LWU720930 MGQ720930 MQM720930 NAI720930 NKE720930 NUA720930 ODW720930 ONS720930 OXO720930 PHK720930 PRG720930 QBC720930 QKY720930 QUU720930 REQ720930 ROM720930 RYI720930 SIE720930 SSA720930 TBW720930 TLS720930 TVO720930 UFK720930 UPG720930 UZC720930 VIY720930 VSU720930 WCQ720930 WMM720930 WWI720930 AA786466 JW786466 TS786466 ADO786466 ANK786466 AXG786466 BHC786466 BQY786466 CAU786466 CKQ786466 CUM786466 DEI786466 DOE786466 DYA786466 EHW786466 ERS786466 FBO786466 FLK786466 FVG786466 GFC786466 GOY786466 GYU786466 HIQ786466 HSM786466 ICI786466 IME786466 IWA786466 JFW786466 JPS786466 JZO786466 KJK786466 KTG786466 LDC786466 LMY786466 LWU786466 MGQ786466 MQM786466 NAI786466 NKE786466 NUA786466 ODW786466 ONS786466 OXO786466 PHK786466 PRG786466 QBC786466 QKY786466 QUU786466 REQ786466 ROM786466 RYI786466 SIE786466 SSA786466 TBW786466 TLS786466 TVO786466 UFK786466 UPG786466 UZC786466 VIY786466 VSU786466 WCQ786466 WMM786466 WWI786466 AA852002 JW852002 TS852002 ADO852002 ANK852002 AXG852002 BHC852002 BQY852002 CAU852002 CKQ852002 CUM852002 DEI852002 DOE852002 DYA852002 EHW852002 ERS852002 FBO852002 FLK852002 FVG852002 GFC852002 GOY852002 GYU852002 HIQ852002 HSM852002 ICI852002 IME852002 IWA852002 JFW852002 JPS852002 JZO852002 KJK852002 KTG852002 LDC852002 LMY852002 LWU852002 MGQ852002 MQM852002 NAI852002 NKE852002 NUA852002 ODW852002 ONS852002 OXO852002 PHK852002 PRG852002 QBC852002 QKY852002 QUU852002 REQ852002 ROM852002 RYI852002 SIE852002 SSA852002 TBW852002 TLS852002 TVO852002 UFK852002 UPG852002 UZC852002 VIY852002 VSU852002 WCQ852002 WMM852002 WWI852002 AA917538 JW917538 TS917538 ADO917538 ANK917538 AXG917538 BHC917538 BQY917538 CAU917538 CKQ917538 CUM917538 DEI917538 DOE917538 DYA917538 EHW917538 ERS917538 FBO917538 FLK917538 FVG917538 GFC917538 GOY917538 GYU917538 HIQ917538 HSM917538 ICI917538 IME917538 IWA917538 JFW917538 JPS917538 JZO917538 KJK917538 KTG917538 LDC917538 LMY917538 LWU917538 MGQ917538 MQM917538 NAI917538 NKE917538 NUA917538 ODW917538 ONS917538 OXO917538 PHK917538 PRG917538 QBC917538 QKY917538 QUU917538 REQ917538 ROM917538 RYI917538 SIE917538 SSA917538 TBW917538 TLS917538 TVO917538 UFK917538 UPG917538 UZC917538 VIY917538 VSU917538 WCQ917538 WMM917538 WWI917538 AA983074 JW983074 TS983074 ADO983074 ANK983074 AXG983074 BHC983074 BQY983074 CAU983074 CKQ983074 CUM983074 DEI983074 DOE983074 DYA983074 EHW983074 ERS983074 FBO983074 FLK983074 FVG983074 GFC983074 GOY983074 GYU983074 HIQ983074 HSM983074 ICI983074 IME983074 IWA983074 JFW983074 JPS983074 JZO983074 KJK983074 KTG983074 LDC983074 LMY983074 LWU983074 MGQ983074 MQM983074 NAI983074 NKE983074 NUA983074 ODW983074 ONS983074 OXO983074 PHK983074 PRG983074 QBC983074 QKY983074 QUU983074 REQ983074 ROM983074 RYI983074 SIE983074 SSA983074 TBW983074 TLS983074 TVO983074 UFK983074 UPG983074 UZC983074 VIY983074 VSU983074 WCQ983074 WMM983074 WWI983074 Q34 JM34 TI34 ADE34 ANA34 AWW34 BGS34 BQO34 CAK34 CKG34 CUC34 DDY34 DNU34 DXQ34 EHM34 ERI34 FBE34 FLA34 FUW34 GES34 GOO34 GYK34 HIG34 HSC34 IBY34 ILU34 IVQ34 JFM34 JPI34 JZE34 KJA34 KSW34 LCS34 LMO34 LWK34 MGG34 MQC34 MZY34 NJU34 NTQ34 ODM34 ONI34 OXE34 PHA34 PQW34 QAS34 QKO34 QUK34 REG34 ROC34 RXY34 SHU34 SRQ34 TBM34 TLI34 TVE34 UFA34 UOW34 UYS34 VIO34 VSK34 WCG34 WMC34 WVY34 Q65570 JM65570 TI65570 ADE65570 ANA65570 AWW65570 BGS65570 BQO65570 CAK65570 CKG65570 CUC65570 DDY65570 DNU65570 DXQ65570 EHM65570 ERI65570 FBE65570 FLA65570 FUW65570 GES65570 GOO65570 GYK65570 HIG65570 HSC65570 IBY65570 ILU65570 IVQ65570 JFM65570 JPI65570 JZE65570 KJA65570 KSW65570 LCS65570 LMO65570 LWK65570 MGG65570 MQC65570 MZY65570 NJU65570 NTQ65570 ODM65570 ONI65570 OXE65570 PHA65570 PQW65570 QAS65570 QKO65570 QUK65570 REG65570 ROC65570 RXY65570 SHU65570 SRQ65570 TBM65570 TLI65570 TVE65570 UFA65570 UOW65570 UYS65570 VIO65570 VSK65570 WCG65570 WMC65570 WVY65570 Q131106 JM131106 TI131106 ADE131106 ANA131106 AWW131106 BGS131106 BQO131106 CAK131106 CKG131106 CUC131106 DDY131106 DNU131106 DXQ131106 EHM131106 ERI131106 FBE131106 FLA131106 FUW131106 GES131106 GOO131106 GYK131106 HIG131106 HSC131106 IBY131106 ILU131106 IVQ131106 JFM131106 JPI131106 JZE131106 KJA131106 KSW131106 LCS131106 LMO131106 LWK131106 MGG131106 MQC131106 MZY131106 NJU131106 NTQ131106 ODM131106 ONI131106 OXE131106 PHA131106 PQW131106 QAS131106 QKO131106 QUK131106 REG131106 ROC131106 RXY131106 SHU131106 SRQ131106 TBM131106 TLI131106 TVE131106 UFA131106 UOW131106 UYS131106 VIO131106 VSK131106 WCG131106 WMC131106 WVY131106 Q196642 JM196642 TI196642 ADE196642 ANA196642 AWW196642 BGS196642 BQO196642 CAK196642 CKG196642 CUC196642 DDY196642 DNU196642 DXQ196642 EHM196642 ERI196642 FBE196642 FLA196642 FUW196642 GES196642 GOO196642 GYK196642 HIG196642 HSC196642 IBY196642 ILU196642 IVQ196642 JFM196642 JPI196642 JZE196642 KJA196642 KSW196642 LCS196642 LMO196642 LWK196642 MGG196642 MQC196642 MZY196642 NJU196642 NTQ196642 ODM196642 ONI196642 OXE196642 PHA196642 PQW196642 QAS196642 QKO196642 QUK196642 REG196642 ROC196642 RXY196642 SHU196642 SRQ196642 TBM196642 TLI196642 TVE196642 UFA196642 UOW196642 UYS196642 VIO196642 VSK196642 WCG196642 WMC196642 WVY196642 Q262178 JM262178 TI262178 ADE262178 ANA262178 AWW262178 BGS262178 BQO262178 CAK262178 CKG262178 CUC262178 DDY262178 DNU262178 DXQ262178 EHM262178 ERI262178 FBE262178 FLA262178 FUW262178 GES262178 GOO262178 GYK262178 HIG262178 HSC262178 IBY262178 ILU262178 IVQ262178 JFM262178 JPI262178 JZE262178 KJA262178 KSW262178 LCS262178 LMO262178 LWK262178 MGG262178 MQC262178 MZY262178 NJU262178 NTQ262178 ODM262178 ONI262178 OXE262178 PHA262178 PQW262178 QAS262178 QKO262178 QUK262178 REG262178 ROC262178 RXY262178 SHU262178 SRQ262178 TBM262178 TLI262178 TVE262178 UFA262178 UOW262178 UYS262178 VIO262178 VSK262178 WCG262178 WMC262178 WVY262178 Q327714 JM327714 TI327714 ADE327714 ANA327714 AWW327714 BGS327714 BQO327714 CAK327714 CKG327714 CUC327714 DDY327714 DNU327714 DXQ327714 EHM327714 ERI327714 FBE327714 FLA327714 FUW327714 GES327714 GOO327714 GYK327714 HIG327714 HSC327714 IBY327714 ILU327714 IVQ327714 JFM327714 JPI327714 JZE327714 KJA327714 KSW327714 LCS327714 LMO327714 LWK327714 MGG327714 MQC327714 MZY327714 NJU327714 NTQ327714 ODM327714 ONI327714 OXE327714 PHA327714 PQW327714 QAS327714 QKO327714 QUK327714 REG327714 ROC327714 RXY327714 SHU327714 SRQ327714 TBM327714 TLI327714 TVE327714 UFA327714 UOW327714 UYS327714 VIO327714 VSK327714 WCG327714 WMC327714 WVY327714 Q393250 JM393250 TI393250 ADE393250 ANA393250 AWW393250 BGS393250 BQO393250 CAK393250 CKG393250 CUC393250 DDY393250 DNU393250 DXQ393250 EHM393250 ERI393250 FBE393250 FLA393250 FUW393250 GES393250 GOO393250 GYK393250 HIG393250 HSC393250 IBY393250 ILU393250 IVQ393250 JFM393250 JPI393250 JZE393250 KJA393250 KSW393250 LCS393250 LMO393250 LWK393250 MGG393250 MQC393250 MZY393250 NJU393250 NTQ393250 ODM393250 ONI393250 OXE393250 PHA393250 PQW393250 QAS393250 QKO393250 QUK393250 REG393250 ROC393250 RXY393250 SHU393250 SRQ393250 TBM393250 TLI393250 TVE393250 UFA393250 UOW393250 UYS393250 VIO393250 VSK393250 WCG393250 WMC393250 WVY393250 Q458786 JM458786 TI458786 ADE458786 ANA458786 AWW458786 BGS458786 BQO458786 CAK458786 CKG458786 CUC458786 DDY458786 DNU458786 DXQ458786 EHM458786 ERI458786 FBE458786 FLA458786 FUW458786 GES458786 GOO458786 GYK458786 HIG458786 HSC458786 IBY458786 ILU458786 IVQ458786 JFM458786 JPI458786 JZE458786 KJA458786 KSW458786 LCS458786 LMO458786 LWK458786 MGG458786 MQC458786 MZY458786 NJU458786 NTQ458786 ODM458786 ONI458786 OXE458786 PHA458786 PQW458786 QAS458786 QKO458786 QUK458786 REG458786 ROC458786 RXY458786 SHU458786 SRQ458786 TBM458786 TLI458786 TVE458786 UFA458786 UOW458786 UYS458786 VIO458786 VSK458786 WCG458786 WMC458786 WVY458786 Q524322 JM524322 TI524322 ADE524322 ANA524322 AWW524322 BGS524322 BQO524322 CAK524322 CKG524322 CUC524322 DDY524322 DNU524322 DXQ524322 EHM524322 ERI524322 FBE524322 FLA524322 FUW524322 GES524322 GOO524322 GYK524322 HIG524322 HSC524322 IBY524322 ILU524322 IVQ524322 JFM524322 JPI524322 JZE524322 KJA524322 KSW524322 LCS524322 LMO524322 LWK524322 MGG524322 MQC524322 MZY524322 NJU524322 NTQ524322 ODM524322 ONI524322 OXE524322 PHA524322 PQW524322 QAS524322 QKO524322 QUK524322 REG524322 ROC524322 RXY524322 SHU524322 SRQ524322 TBM524322 TLI524322 TVE524322 UFA524322 UOW524322 UYS524322 VIO524322 VSK524322 WCG524322 WMC524322 WVY524322 Q589858 JM589858 TI589858 ADE589858 ANA589858 AWW589858 BGS589858 BQO589858 CAK589858 CKG589858 CUC589858 DDY589858 DNU589858 DXQ589858 EHM589858 ERI589858 FBE589858 FLA589858 FUW589858 GES589858 GOO589858 GYK589858 HIG589858 HSC589858 IBY589858 ILU589858 IVQ589858 JFM589858 JPI589858 JZE589858 KJA589858 KSW589858 LCS589858 LMO589858 LWK589858 MGG589858 MQC589858 MZY589858 NJU589858 NTQ589858 ODM589858 ONI589858 OXE589858 PHA589858 PQW589858 QAS589858 QKO589858 QUK589858 REG589858 ROC589858 RXY589858 SHU589858 SRQ589858 TBM589858 TLI589858 TVE589858 UFA589858 UOW589858 UYS589858 VIO589858 VSK589858 WCG589858 WMC589858 WVY589858 Q655394 JM655394 TI655394 ADE655394 ANA655394 AWW655394 BGS655394 BQO655394 CAK655394 CKG655394 CUC655394 DDY655394 DNU655394 DXQ655394 EHM655394 ERI655394 FBE655394 FLA655394 FUW655394 GES655394 GOO655394 GYK655394 HIG655394 HSC655394 IBY655394 ILU655394 IVQ655394 JFM655394 JPI655394 JZE655394 KJA655394 KSW655394 LCS655394 LMO655394 LWK655394 MGG655394 MQC655394 MZY655394 NJU655394 NTQ655394 ODM655394 ONI655394 OXE655394 PHA655394 PQW655394 QAS655394 QKO655394 QUK655394 REG655394 ROC655394 RXY655394 SHU655394 SRQ655394 TBM655394 TLI655394 TVE655394 UFA655394 UOW655394 UYS655394 VIO655394 VSK655394 WCG655394 WMC655394 WVY655394 Q720930 JM720930 TI720930 ADE720930 ANA720930 AWW720930 BGS720930 BQO720930 CAK720930 CKG720930 CUC720930 DDY720930 DNU720930 DXQ720930 EHM720930 ERI720930 FBE720930 FLA720930 FUW720930 GES720930 GOO720930 GYK720930 HIG720930 HSC720930 IBY720930 ILU720930 IVQ720930 JFM720930 JPI720930 JZE720930 KJA720930 KSW720930 LCS720930 LMO720930 LWK720930 MGG720930 MQC720930 MZY720930 NJU720930 NTQ720930 ODM720930 ONI720930 OXE720930 PHA720930 PQW720930 QAS720930 QKO720930 QUK720930 REG720930 ROC720930 RXY720930 SHU720930 SRQ720930 TBM720930 TLI720930 TVE720930 UFA720930 UOW720930 UYS720930 VIO720930 VSK720930 WCG720930 WMC720930 WVY720930 Q786466 JM786466 TI786466 ADE786466 ANA786466 AWW786466 BGS786466 BQO786466 CAK786466 CKG786466 CUC786466 DDY786466 DNU786466 DXQ786466 EHM786466 ERI786466 FBE786466 FLA786466 FUW786466 GES786466 GOO786466 GYK786466 HIG786466 HSC786466 IBY786466 ILU786466 IVQ786466 JFM786466 JPI786466 JZE786466 KJA786466 KSW786466 LCS786466 LMO786466 LWK786466 MGG786466 MQC786466 MZY786466 NJU786466 NTQ786466 ODM786466 ONI786466 OXE786466 PHA786466 PQW786466 QAS786466 QKO786466 QUK786466 REG786466 ROC786466 RXY786466 SHU786466 SRQ786466 TBM786466 TLI786466 TVE786466 UFA786466 UOW786466 UYS786466 VIO786466 VSK786466 WCG786466 WMC786466 WVY786466 Q852002 JM852002 TI852002 ADE852002 ANA852002 AWW852002 BGS852002 BQO852002 CAK852002 CKG852002 CUC852002 DDY852002 DNU852002 DXQ852002 EHM852002 ERI852002 FBE852002 FLA852002 FUW852002 GES852002 GOO852002 GYK852002 HIG852002 HSC852002 IBY852002 ILU852002 IVQ852002 JFM852002 JPI852002 JZE852002 KJA852002 KSW852002 LCS852002 LMO852002 LWK852002 MGG852002 MQC852002 MZY852002 NJU852002 NTQ852002 ODM852002 ONI852002 OXE852002 PHA852002 PQW852002 QAS852002 QKO852002 QUK852002 REG852002 ROC852002 RXY852002 SHU852002 SRQ852002 TBM852002 TLI852002 TVE852002 UFA852002 UOW852002 UYS852002 VIO852002 VSK852002 WCG852002 WMC852002 WVY852002 Q917538 JM917538 TI917538 ADE917538 ANA917538 AWW917538 BGS917538 BQO917538 CAK917538 CKG917538 CUC917538 DDY917538 DNU917538 DXQ917538 EHM917538 ERI917538 FBE917538 FLA917538 FUW917538 GES917538 GOO917538 GYK917538 HIG917538 HSC917538 IBY917538 ILU917538 IVQ917538 JFM917538 JPI917538 JZE917538 KJA917538 KSW917538 LCS917538 LMO917538 LWK917538 MGG917538 MQC917538 MZY917538 NJU917538 NTQ917538 ODM917538 ONI917538 OXE917538 PHA917538 PQW917538 QAS917538 QKO917538 QUK917538 REG917538 ROC917538 RXY917538 SHU917538 SRQ917538 TBM917538 TLI917538 TVE917538 UFA917538 UOW917538 UYS917538 VIO917538 VSK917538 WCG917538 WMC917538 WVY917538 Q983074 JM983074 TI983074 ADE983074 ANA983074 AWW983074 BGS983074 BQO983074 CAK983074 CKG983074 CUC983074 DDY983074 DNU983074 DXQ983074 EHM983074 ERI983074 FBE983074 FLA983074 FUW983074 GES983074 GOO983074 GYK983074 HIG983074 HSC983074 IBY983074 ILU983074 IVQ983074 JFM983074 JPI983074 JZE983074 KJA983074 KSW983074 LCS983074 LMO983074 LWK983074 MGG983074 MQC983074 MZY983074 NJU983074 NTQ983074 ODM983074 ONI983074 OXE983074 PHA983074 PQW983074 QAS983074 QKO983074 QUK983074 REG983074 ROC983074 RXY983074 SHU983074 SRQ983074 TBM983074 TLI983074 TVE983074 UFA983074 UOW983074 UYS983074 VIO983074 VSK983074 WCG983074 WMC983074 WVY983074 W34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W65570 JS65570 TO65570 ADK65570 ANG65570 AXC65570 BGY65570 BQU65570 CAQ65570 CKM65570 CUI65570 DEE65570 DOA65570 DXW65570 EHS65570 ERO65570 FBK65570 FLG65570 FVC65570 GEY65570 GOU65570 GYQ65570 HIM65570 HSI65570 ICE65570 IMA65570 IVW65570 JFS65570 JPO65570 JZK65570 KJG65570 KTC65570 LCY65570 LMU65570 LWQ65570 MGM65570 MQI65570 NAE65570 NKA65570 NTW65570 ODS65570 ONO65570 OXK65570 PHG65570 PRC65570 QAY65570 QKU65570 QUQ65570 REM65570 ROI65570 RYE65570 SIA65570 SRW65570 TBS65570 TLO65570 TVK65570 UFG65570 UPC65570 UYY65570 VIU65570 VSQ65570 WCM65570 WMI65570 WWE65570 W131106 JS131106 TO131106 ADK131106 ANG131106 AXC131106 BGY131106 BQU131106 CAQ131106 CKM131106 CUI131106 DEE131106 DOA131106 DXW131106 EHS131106 ERO131106 FBK131106 FLG131106 FVC131106 GEY131106 GOU131106 GYQ131106 HIM131106 HSI131106 ICE131106 IMA131106 IVW131106 JFS131106 JPO131106 JZK131106 KJG131106 KTC131106 LCY131106 LMU131106 LWQ131106 MGM131106 MQI131106 NAE131106 NKA131106 NTW131106 ODS131106 ONO131106 OXK131106 PHG131106 PRC131106 QAY131106 QKU131106 QUQ131106 REM131106 ROI131106 RYE131106 SIA131106 SRW131106 TBS131106 TLO131106 TVK131106 UFG131106 UPC131106 UYY131106 VIU131106 VSQ131106 WCM131106 WMI131106 WWE131106 W196642 JS196642 TO196642 ADK196642 ANG196642 AXC196642 BGY196642 BQU196642 CAQ196642 CKM196642 CUI196642 DEE196642 DOA196642 DXW196642 EHS196642 ERO196642 FBK196642 FLG196642 FVC196642 GEY196642 GOU196642 GYQ196642 HIM196642 HSI196642 ICE196642 IMA196642 IVW196642 JFS196642 JPO196642 JZK196642 KJG196642 KTC196642 LCY196642 LMU196642 LWQ196642 MGM196642 MQI196642 NAE196642 NKA196642 NTW196642 ODS196642 ONO196642 OXK196642 PHG196642 PRC196642 QAY196642 QKU196642 QUQ196642 REM196642 ROI196642 RYE196642 SIA196642 SRW196642 TBS196642 TLO196642 TVK196642 UFG196642 UPC196642 UYY196642 VIU196642 VSQ196642 WCM196642 WMI196642 WWE196642 W262178 JS262178 TO262178 ADK262178 ANG262178 AXC262178 BGY262178 BQU262178 CAQ262178 CKM262178 CUI262178 DEE262178 DOA262178 DXW262178 EHS262178 ERO262178 FBK262178 FLG262178 FVC262178 GEY262178 GOU262178 GYQ262178 HIM262178 HSI262178 ICE262178 IMA262178 IVW262178 JFS262178 JPO262178 JZK262178 KJG262178 KTC262178 LCY262178 LMU262178 LWQ262178 MGM262178 MQI262178 NAE262178 NKA262178 NTW262178 ODS262178 ONO262178 OXK262178 PHG262178 PRC262178 QAY262178 QKU262178 QUQ262178 REM262178 ROI262178 RYE262178 SIA262178 SRW262178 TBS262178 TLO262178 TVK262178 UFG262178 UPC262178 UYY262178 VIU262178 VSQ262178 WCM262178 WMI262178 WWE262178 W327714 JS327714 TO327714 ADK327714 ANG327714 AXC327714 BGY327714 BQU327714 CAQ327714 CKM327714 CUI327714 DEE327714 DOA327714 DXW327714 EHS327714 ERO327714 FBK327714 FLG327714 FVC327714 GEY327714 GOU327714 GYQ327714 HIM327714 HSI327714 ICE327714 IMA327714 IVW327714 JFS327714 JPO327714 JZK327714 KJG327714 KTC327714 LCY327714 LMU327714 LWQ327714 MGM327714 MQI327714 NAE327714 NKA327714 NTW327714 ODS327714 ONO327714 OXK327714 PHG327714 PRC327714 QAY327714 QKU327714 QUQ327714 REM327714 ROI327714 RYE327714 SIA327714 SRW327714 TBS327714 TLO327714 TVK327714 UFG327714 UPC327714 UYY327714 VIU327714 VSQ327714 WCM327714 WMI327714 WWE327714 W393250 JS393250 TO393250 ADK393250 ANG393250 AXC393250 BGY393250 BQU393250 CAQ393250 CKM393250 CUI393250 DEE393250 DOA393250 DXW393250 EHS393250 ERO393250 FBK393250 FLG393250 FVC393250 GEY393250 GOU393250 GYQ393250 HIM393250 HSI393250 ICE393250 IMA393250 IVW393250 JFS393250 JPO393250 JZK393250 KJG393250 KTC393250 LCY393250 LMU393250 LWQ393250 MGM393250 MQI393250 NAE393250 NKA393250 NTW393250 ODS393250 ONO393250 OXK393250 PHG393250 PRC393250 QAY393250 QKU393250 QUQ393250 REM393250 ROI393250 RYE393250 SIA393250 SRW393250 TBS393250 TLO393250 TVK393250 UFG393250 UPC393250 UYY393250 VIU393250 VSQ393250 WCM393250 WMI393250 WWE393250 W458786 JS458786 TO458786 ADK458786 ANG458786 AXC458786 BGY458786 BQU458786 CAQ458786 CKM458786 CUI458786 DEE458786 DOA458786 DXW458786 EHS458786 ERO458786 FBK458786 FLG458786 FVC458786 GEY458786 GOU458786 GYQ458786 HIM458786 HSI458786 ICE458786 IMA458786 IVW458786 JFS458786 JPO458786 JZK458786 KJG458786 KTC458786 LCY458786 LMU458786 LWQ458786 MGM458786 MQI458786 NAE458786 NKA458786 NTW458786 ODS458786 ONO458786 OXK458786 PHG458786 PRC458786 QAY458786 QKU458786 QUQ458786 REM458786 ROI458786 RYE458786 SIA458786 SRW458786 TBS458786 TLO458786 TVK458786 UFG458786 UPC458786 UYY458786 VIU458786 VSQ458786 WCM458786 WMI458786 WWE458786 W524322 JS524322 TO524322 ADK524322 ANG524322 AXC524322 BGY524322 BQU524322 CAQ524322 CKM524322 CUI524322 DEE524322 DOA524322 DXW524322 EHS524322 ERO524322 FBK524322 FLG524322 FVC524322 GEY524322 GOU524322 GYQ524322 HIM524322 HSI524322 ICE524322 IMA524322 IVW524322 JFS524322 JPO524322 JZK524322 KJG524322 KTC524322 LCY524322 LMU524322 LWQ524322 MGM524322 MQI524322 NAE524322 NKA524322 NTW524322 ODS524322 ONO524322 OXK524322 PHG524322 PRC524322 QAY524322 QKU524322 QUQ524322 REM524322 ROI524322 RYE524322 SIA524322 SRW524322 TBS524322 TLO524322 TVK524322 UFG524322 UPC524322 UYY524322 VIU524322 VSQ524322 WCM524322 WMI524322 WWE524322 W589858 JS589858 TO589858 ADK589858 ANG589858 AXC589858 BGY589858 BQU589858 CAQ589858 CKM589858 CUI589858 DEE589858 DOA589858 DXW589858 EHS589858 ERO589858 FBK589858 FLG589858 FVC589858 GEY589858 GOU589858 GYQ589858 HIM589858 HSI589858 ICE589858 IMA589858 IVW589858 JFS589858 JPO589858 JZK589858 KJG589858 KTC589858 LCY589858 LMU589858 LWQ589858 MGM589858 MQI589858 NAE589858 NKA589858 NTW589858 ODS589858 ONO589858 OXK589858 PHG589858 PRC589858 QAY589858 QKU589858 QUQ589858 REM589858 ROI589858 RYE589858 SIA589858 SRW589858 TBS589858 TLO589858 TVK589858 UFG589858 UPC589858 UYY589858 VIU589858 VSQ589858 WCM589858 WMI589858 WWE589858 W655394 JS655394 TO655394 ADK655394 ANG655394 AXC655394 BGY655394 BQU655394 CAQ655394 CKM655394 CUI655394 DEE655394 DOA655394 DXW655394 EHS655394 ERO655394 FBK655394 FLG655394 FVC655394 GEY655394 GOU655394 GYQ655394 HIM655394 HSI655394 ICE655394 IMA655394 IVW655394 JFS655394 JPO655394 JZK655394 KJG655394 KTC655394 LCY655394 LMU655394 LWQ655394 MGM655394 MQI655394 NAE655394 NKA655394 NTW655394 ODS655394 ONO655394 OXK655394 PHG655394 PRC655394 QAY655394 QKU655394 QUQ655394 REM655394 ROI655394 RYE655394 SIA655394 SRW655394 TBS655394 TLO655394 TVK655394 UFG655394 UPC655394 UYY655394 VIU655394 VSQ655394 WCM655394 WMI655394 WWE655394 W720930 JS720930 TO720930 ADK720930 ANG720930 AXC720930 BGY720930 BQU720930 CAQ720930 CKM720930 CUI720930 DEE720930 DOA720930 DXW720930 EHS720930 ERO720930 FBK720930 FLG720930 FVC720930 GEY720930 GOU720930 GYQ720930 HIM720930 HSI720930 ICE720930 IMA720930 IVW720930 JFS720930 JPO720930 JZK720930 KJG720930 KTC720930 LCY720930 LMU720930 LWQ720930 MGM720930 MQI720930 NAE720930 NKA720930 NTW720930 ODS720930 ONO720930 OXK720930 PHG720930 PRC720930 QAY720930 QKU720930 QUQ720930 REM720930 ROI720930 RYE720930 SIA720930 SRW720930 TBS720930 TLO720930 TVK720930 UFG720930 UPC720930 UYY720930 VIU720930 VSQ720930 WCM720930 WMI720930 WWE720930 W786466 JS786466 TO786466 ADK786466 ANG786466 AXC786466 BGY786466 BQU786466 CAQ786466 CKM786466 CUI786466 DEE786466 DOA786466 DXW786466 EHS786466 ERO786466 FBK786466 FLG786466 FVC786466 GEY786466 GOU786466 GYQ786466 HIM786466 HSI786466 ICE786466 IMA786466 IVW786466 JFS786466 JPO786466 JZK786466 KJG786466 KTC786466 LCY786466 LMU786466 LWQ786466 MGM786466 MQI786466 NAE786466 NKA786466 NTW786466 ODS786466 ONO786466 OXK786466 PHG786466 PRC786466 QAY786466 QKU786466 QUQ786466 REM786466 ROI786466 RYE786466 SIA786466 SRW786466 TBS786466 TLO786466 TVK786466 UFG786466 UPC786466 UYY786466 VIU786466 VSQ786466 WCM786466 WMI786466 WWE786466 W852002 JS852002 TO852002 ADK852002 ANG852002 AXC852002 BGY852002 BQU852002 CAQ852002 CKM852002 CUI852002 DEE852002 DOA852002 DXW852002 EHS852002 ERO852002 FBK852002 FLG852002 FVC852002 GEY852002 GOU852002 GYQ852002 HIM852002 HSI852002 ICE852002 IMA852002 IVW852002 JFS852002 JPO852002 JZK852002 KJG852002 KTC852002 LCY852002 LMU852002 LWQ852002 MGM852002 MQI852002 NAE852002 NKA852002 NTW852002 ODS852002 ONO852002 OXK852002 PHG852002 PRC852002 QAY852002 QKU852002 QUQ852002 REM852002 ROI852002 RYE852002 SIA852002 SRW852002 TBS852002 TLO852002 TVK852002 UFG852002 UPC852002 UYY852002 VIU852002 VSQ852002 WCM852002 WMI852002 WWE852002 W917538 JS917538 TO917538 ADK917538 ANG917538 AXC917538 BGY917538 BQU917538 CAQ917538 CKM917538 CUI917538 DEE917538 DOA917538 DXW917538 EHS917538 ERO917538 FBK917538 FLG917538 FVC917538 GEY917538 GOU917538 GYQ917538 HIM917538 HSI917538 ICE917538 IMA917538 IVW917538 JFS917538 JPO917538 JZK917538 KJG917538 KTC917538 LCY917538 LMU917538 LWQ917538 MGM917538 MQI917538 NAE917538 NKA917538 NTW917538 ODS917538 ONO917538 OXK917538 PHG917538 PRC917538 QAY917538 QKU917538 QUQ917538 REM917538 ROI917538 RYE917538 SIA917538 SRW917538 TBS917538 TLO917538 TVK917538 UFG917538 UPC917538 UYY917538 VIU917538 VSQ917538 WCM917538 WMI917538 WWE917538 W983074 JS983074 TO983074 ADK983074 ANG983074 AXC983074 BGY983074 BQU983074 CAQ983074 CKM983074 CUI983074 DEE983074 DOA983074 DXW983074 EHS983074 ERO983074 FBK983074 FLG983074 FVC983074 GEY983074 GOU983074 GYQ983074 HIM983074 HSI983074 ICE983074 IMA983074 IVW983074 JFS983074 JPO983074 JZK983074 KJG983074 KTC983074 LCY983074 LMU983074 LWQ983074 MGM983074 MQI983074 NAE983074 NKA983074 NTW983074 ODS983074 ONO983074 OXK983074 PHG983074 PRC983074 QAY983074 QKU983074 QUQ983074 REM983074 ROI983074 RYE983074 SIA983074 SRW983074 TBS983074 TLO983074 TVK983074 UFG983074 UPC983074 UYY983074 VIU983074 VSQ983074 WCM983074 WMI983074 WWE983074 Q38:AD49 JM38:JZ49 TI38:TV49 ADE38:ADR49 ANA38:ANN49 AWW38:AXJ49 BGS38:BHF49 BQO38:BRB49 CAK38:CAX49 CKG38:CKT49 CUC38:CUP49 DDY38:DEL49 DNU38:DOH49 DXQ38:DYD49 EHM38:EHZ49 ERI38:ERV49 FBE38:FBR49 FLA38:FLN49 FUW38:FVJ49 GES38:GFF49 GOO38:GPB49 GYK38:GYX49 HIG38:HIT49 HSC38:HSP49 IBY38:ICL49 ILU38:IMH49 IVQ38:IWD49 JFM38:JFZ49 JPI38:JPV49 JZE38:JZR49 KJA38:KJN49 KSW38:KTJ49 LCS38:LDF49 LMO38:LNB49 LWK38:LWX49 MGG38:MGT49 MQC38:MQP49 MZY38:NAL49 NJU38:NKH49 NTQ38:NUD49 ODM38:ODZ49 ONI38:ONV49 OXE38:OXR49 PHA38:PHN49 PQW38:PRJ49 QAS38:QBF49 QKO38:QLB49 QUK38:QUX49 REG38:RET49 ROC38:ROP49 RXY38:RYL49 SHU38:SIH49 SRQ38:SSD49 TBM38:TBZ49 TLI38:TLV49 TVE38:TVR49 UFA38:UFN49 UOW38:UPJ49 UYS38:UZF49 VIO38:VJB49 VSK38:VSX49 WCG38:WCT49 WMC38:WMP49 WVY38:WWL49 Q65574:AD65585 JM65574:JZ65585 TI65574:TV65585 ADE65574:ADR65585 ANA65574:ANN65585 AWW65574:AXJ65585 BGS65574:BHF65585 BQO65574:BRB65585 CAK65574:CAX65585 CKG65574:CKT65585 CUC65574:CUP65585 DDY65574:DEL65585 DNU65574:DOH65585 DXQ65574:DYD65585 EHM65574:EHZ65585 ERI65574:ERV65585 FBE65574:FBR65585 FLA65574:FLN65585 FUW65574:FVJ65585 GES65574:GFF65585 GOO65574:GPB65585 GYK65574:GYX65585 HIG65574:HIT65585 HSC65574:HSP65585 IBY65574:ICL65585 ILU65574:IMH65585 IVQ65574:IWD65585 JFM65574:JFZ65585 JPI65574:JPV65585 JZE65574:JZR65585 KJA65574:KJN65585 KSW65574:KTJ65585 LCS65574:LDF65585 LMO65574:LNB65585 LWK65574:LWX65585 MGG65574:MGT65585 MQC65574:MQP65585 MZY65574:NAL65585 NJU65574:NKH65585 NTQ65574:NUD65585 ODM65574:ODZ65585 ONI65574:ONV65585 OXE65574:OXR65585 PHA65574:PHN65585 PQW65574:PRJ65585 QAS65574:QBF65585 QKO65574:QLB65585 QUK65574:QUX65585 REG65574:RET65585 ROC65574:ROP65585 RXY65574:RYL65585 SHU65574:SIH65585 SRQ65574:SSD65585 TBM65574:TBZ65585 TLI65574:TLV65585 TVE65574:TVR65585 UFA65574:UFN65585 UOW65574:UPJ65585 UYS65574:UZF65585 VIO65574:VJB65585 VSK65574:VSX65585 WCG65574:WCT65585 WMC65574:WMP65585 WVY65574:WWL65585 Q131110:AD131121 JM131110:JZ131121 TI131110:TV131121 ADE131110:ADR131121 ANA131110:ANN131121 AWW131110:AXJ131121 BGS131110:BHF131121 BQO131110:BRB131121 CAK131110:CAX131121 CKG131110:CKT131121 CUC131110:CUP131121 DDY131110:DEL131121 DNU131110:DOH131121 DXQ131110:DYD131121 EHM131110:EHZ131121 ERI131110:ERV131121 FBE131110:FBR131121 FLA131110:FLN131121 FUW131110:FVJ131121 GES131110:GFF131121 GOO131110:GPB131121 GYK131110:GYX131121 HIG131110:HIT131121 HSC131110:HSP131121 IBY131110:ICL131121 ILU131110:IMH131121 IVQ131110:IWD131121 JFM131110:JFZ131121 JPI131110:JPV131121 JZE131110:JZR131121 KJA131110:KJN131121 KSW131110:KTJ131121 LCS131110:LDF131121 LMO131110:LNB131121 LWK131110:LWX131121 MGG131110:MGT131121 MQC131110:MQP131121 MZY131110:NAL131121 NJU131110:NKH131121 NTQ131110:NUD131121 ODM131110:ODZ131121 ONI131110:ONV131121 OXE131110:OXR131121 PHA131110:PHN131121 PQW131110:PRJ131121 QAS131110:QBF131121 QKO131110:QLB131121 QUK131110:QUX131121 REG131110:RET131121 ROC131110:ROP131121 RXY131110:RYL131121 SHU131110:SIH131121 SRQ131110:SSD131121 TBM131110:TBZ131121 TLI131110:TLV131121 TVE131110:TVR131121 UFA131110:UFN131121 UOW131110:UPJ131121 UYS131110:UZF131121 VIO131110:VJB131121 VSK131110:VSX131121 WCG131110:WCT131121 WMC131110:WMP131121 WVY131110:WWL131121 Q196646:AD196657 JM196646:JZ196657 TI196646:TV196657 ADE196646:ADR196657 ANA196646:ANN196657 AWW196646:AXJ196657 BGS196646:BHF196657 BQO196646:BRB196657 CAK196646:CAX196657 CKG196646:CKT196657 CUC196646:CUP196657 DDY196646:DEL196657 DNU196646:DOH196657 DXQ196646:DYD196657 EHM196646:EHZ196657 ERI196646:ERV196657 FBE196646:FBR196657 FLA196646:FLN196657 FUW196646:FVJ196657 GES196646:GFF196657 GOO196646:GPB196657 GYK196646:GYX196657 HIG196646:HIT196657 HSC196646:HSP196657 IBY196646:ICL196657 ILU196646:IMH196657 IVQ196646:IWD196657 JFM196646:JFZ196657 JPI196646:JPV196657 JZE196646:JZR196657 KJA196646:KJN196657 KSW196646:KTJ196657 LCS196646:LDF196657 LMO196646:LNB196657 LWK196646:LWX196657 MGG196646:MGT196657 MQC196646:MQP196657 MZY196646:NAL196657 NJU196646:NKH196657 NTQ196646:NUD196657 ODM196646:ODZ196657 ONI196646:ONV196657 OXE196646:OXR196657 PHA196646:PHN196657 PQW196646:PRJ196657 QAS196646:QBF196657 QKO196646:QLB196657 QUK196646:QUX196657 REG196646:RET196657 ROC196646:ROP196657 RXY196646:RYL196657 SHU196646:SIH196657 SRQ196646:SSD196657 TBM196646:TBZ196657 TLI196646:TLV196657 TVE196646:TVR196657 UFA196646:UFN196657 UOW196646:UPJ196657 UYS196646:UZF196657 VIO196646:VJB196657 VSK196646:VSX196657 WCG196646:WCT196657 WMC196646:WMP196657 WVY196646:WWL196657 Q262182:AD262193 JM262182:JZ262193 TI262182:TV262193 ADE262182:ADR262193 ANA262182:ANN262193 AWW262182:AXJ262193 BGS262182:BHF262193 BQO262182:BRB262193 CAK262182:CAX262193 CKG262182:CKT262193 CUC262182:CUP262193 DDY262182:DEL262193 DNU262182:DOH262193 DXQ262182:DYD262193 EHM262182:EHZ262193 ERI262182:ERV262193 FBE262182:FBR262193 FLA262182:FLN262193 FUW262182:FVJ262193 GES262182:GFF262193 GOO262182:GPB262193 GYK262182:GYX262193 HIG262182:HIT262193 HSC262182:HSP262193 IBY262182:ICL262193 ILU262182:IMH262193 IVQ262182:IWD262193 JFM262182:JFZ262193 JPI262182:JPV262193 JZE262182:JZR262193 KJA262182:KJN262193 KSW262182:KTJ262193 LCS262182:LDF262193 LMO262182:LNB262193 LWK262182:LWX262193 MGG262182:MGT262193 MQC262182:MQP262193 MZY262182:NAL262193 NJU262182:NKH262193 NTQ262182:NUD262193 ODM262182:ODZ262193 ONI262182:ONV262193 OXE262182:OXR262193 PHA262182:PHN262193 PQW262182:PRJ262193 QAS262182:QBF262193 QKO262182:QLB262193 QUK262182:QUX262193 REG262182:RET262193 ROC262182:ROP262193 RXY262182:RYL262193 SHU262182:SIH262193 SRQ262182:SSD262193 TBM262182:TBZ262193 TLI262182:TLV262193 TVE262182:TVR262193 UFA262182:UFN262193 UOW262182:UPJ262193 UYS262182:UZF262193 VIO262182:VJB262193 VSK262182:VSX262193 WCG262182:WCT262193 WMC262182:WMP262193 WVY262182:WWL262193 Q327718:AD327729 JM327718:JZ327729 TI327718:TV327729 ADE327718:ADR327729 ANA327718:ANN327729 AWW327718:AXJ327729 BGS327718:BHF327729 BQO327718:BRB327729 CAK327718:CAX327729 CKG327718:CKT327729 CUC327718:CUP327729 DDY327718:DEL327729 DNU327718:DOH327729 DXQ327718:DYD327729 EHM327718:EHZ327729 ERI327718:ERV327729 FBE327718:FBR327729 FLA327718:FLN327729 FUW327718:FVJ327729 GES327718:GFF327729 GOO327718:GPB327729 GYK327718:GYX327729 HIG327718:HIT327729 HSC327718:HSP327729 IBY327718:ICL327729 ILU327718:IMH327729 IVQ327718:IWD327729 JFM327718:JFZ327729 JPI327718:JPV327729 JZE327718:JZR327729 KJA327718:KJN327729 KSW327718:KTJ327729 LCS327718:LDF327729 LMO327718:LNB327729 LWK327718:LWX327729 MGG327718:MGT327729 MQC327718:MQP327729 MZY327718:NAL327729 NJU327718:NKH327729 NTQ327718:NUD327729 ODM327718:ODZ327729 ONI327718:ONV327729 OXE327718:OXR327729 PHA327718:PHN327729 PQW327718:PRJ327729 QAS327718:QBF327729 QKO327718:QLB327729 QUK327718:QUX327729 REG327718:RET327729 ROC327718:ROP327729 RXY327718:RYL327729 SHU327718:SIH327729 SRQ327718:SSD327729 TBM327718:TBZ327729 TLI327718:TLV327729 TVE327718:TVR327729 UFA327718:UFN327729 UOW327718:UPJ327729 UYS327718:UZF327729 VIO327718:VJB327729 VSK327718:VSX327729 WCG327718:WCT327729 WMC327718:WMP327729 WVY327718:WWL327729 Q393254:AD393265 JM393254:JZ393265 TI393254:TV393265 ADE393254:ADR393265 ANA393254:ANN393265 AWW393254:AXJ393265 BGS393254:BHF393265 BQO393254:BRB393265 CAK393254:CAX393265 CKG393254:CKT393265 CUC393254:CUP393265 DDY393254:DEL393265 DNU393254:DOH393265 DXQ393254:DYD393265 EHM393254:EHZ393265 ERI393254:ERV393265 FBE393254:FBR393265 FLA393254:FLN393265 FUW393254:FVJ393265 GES393254:GFF393265 GOO393254:GPB393265 GYK393254:GYX393265 HIG393254:HIT393265 HSC393254:HSP393265 IBY393254:ICL393265 ILU393254:IMH393265 IVQ393254:IWD393265 JFM393254:JFZ393265 JPI393254:JPV393265 JZE393254:JZR393265 KJA393254:KJN393265 KSW393254:KTJ393265 LCS393254:LDF393265 LMO393254:LNB393265 LWK393254:LWX393265 MGG393254:MGT393265 MQC393254:MQP393265 MZY393254:NAL393265 NJU393254:NKH393265 NTQ393254:NUD393265 ODM393254:ODZ393265 ONI393254:ONV393265 OXE393254:OXR393265 PHA393254:PHN393265 PQW393254:PRJ393265 QAS393254:QBF393265 QKO393254:QLB393265 QUK393254:QUX393265 REG393254:RET393265 ROC393254:ROP393265 RXY393254:RYL393265 SHU393254:SIH393265 SRQ393254:SSD393265 TBM393254:TBZ393265 TLI393254:TLV393265 TVE393254:TVR393265 UFA393254:UFN393265 UOW393254:UPJ393265 UYS393254:UZF393265 VIO393254:VJB393265 VSK393254:VSX393265 WCG393254:WCT393265 WMC393254:WMP393265 WVY393254:WWL393265 Q458790:AD458801 JM458790:JZ458801 TI458790:TV458801 ADE458790:ADR458801 ANA458790:ANN458801 AWW458790:AXJ458801 BGS458790:BHF458801 BQO458790:BRB458801 CAK458790:CAX458801 CKG458790:CKT458801 CUC458790:CUP458801 DDY458790:DEL458801 DNU458790:DOH458801 DXQ458790:DYD458801 EHM458790:EHZ458801 ERI458790:ERV458801 FBE458790:FBR458801 FLA458790:FLN458801 FUW458790:FVJ458801 GES458790:GFF458801 GOO458790:GPB458801 GYK458790:GYX458801 HIG458790:HIT458801 HSC458790:HSP458801 IBY458790:ICL458801 ILU458790:IMH458801 IVQ458790:IWD458801 JFM458790:JFZ458801 JPI458790:JPV458801 JZE458790:JZR458801 KJA458790:KJN458801 KSW458790:KTJ458801 LCS458790:LDF458801 LMO458790:LNB458801 LWK458790:LWX458801 MGG458790:MGT458801 MQC458790:MQP458801 MZY458790:NAL458801 NJU458790:NKH458801 NTQ458790:NUD458801 ODM458790:ODZ458801 ONI458790:ONV458801 OXE458790:OXR458801 PHA458790:PHN458801 PQW458790:PRJ458801 QAS458790:QBF458801 QKO458790:QLB458801 QUK458790:QUX458801 REG458790:RET458801 ROC458790:ROP458801 RXY458790:RYL458801 SHU458790:SIH458801 SRQ458790:SSD458801 TBM458790:TBZ458801 TLI458790:TLV458801 TVE458790:TVR458801 UFA458790:UFN458801 UOW458790:UPJ458801 UYS458790:UZF458801 VIO458790:VJB458801 VSK458790:VSX458801 WCG458790:WCT458801 WMC458790:WMP458801 WVY458790:WWL458801 Q524326:AD524337 JM524326:JZ524337 TI524326:TV524337 ADE524326:ADR524337 ANA524326:ANN524337 AWW524326:AXJ524337 BGS524326:BHF524337 BQO524326:BRB524337 CAK524326:CAX524337 CKG524326:CKT524337 CUC524326:CUP524337 DDY524326:DEL524337 DNU524326:DOH524337 DXQ524326:DYD524337 EHM524326:EHZ524337 ERI524326:ERV524337 FBE524326:FBR524337 FLA524326:FLN524337 FUW524326:FVJ524337 GES524326:GFF524337 GOO524326:GPB524337 GYK524326:GYX524337 HIG524326:HIT524337 HSC524326:HSP524337 IBY524326:ICL524337 ILU524326:IMH524337 IVQ524326:IWD524337 JFM524326:JFZ524337 JPI524326:JPV524337 JZE524326:JZR524337 KJA524326:KJN524337 KSW524326:KTJ524337 LCS524326:LDF524337 LMO524326:LNB524337 LWK524326:LWX524337 MGG524326:MGT524337 MQC524326:MQP524337 MZY524326:NAL524337 NJU524326:NKH524337 NTQ524326:NUD524337 ODM524326:ODZ524337 ONI524326:ONV524337 OXE524326:OXR524337 PHA524326:PHN524337 PQW524326:PRJ524337 QAS524326:QBF524337 QKO524326:QLB524337 QUK524326:QUX524337 REG524326:RET524337 ROC524326:ROP524337 RXY524326:RYL524337 SHU524326:SIH524337 SRQ524326:SSD524337 TBM524326:TBZ524337 TLI524326:TLV524337 TVE524326:TVR524337 UFA524326:UFN524337 UOW524326:UPJ524337 UYS524326:UZF524337 VIO524326:VJB524337 VSK524326:VSX524337 WCG524326:WCT524337 WMC524326:WMP524337 WVY524326:WWL524337 Q589862:AD589873 JM589862:JZ589873 TI589862:TV589873 ADE589862:ADR589873 ANA589862:ANN589873 AWW589862:AXJ589873 BGS589862:BHF589873 BQO589862:BRB589873 CAK589862:CAX589873 CKG589862:CKT589873 CUC589862:CUP589873 DDY589862:DEL589873 DNU589862:DOH589873 DXQ589862:DYD589873 EHM589862:EHZ589873 ERI589862:ERV589873 FBE589862:FBR589873 FLA589862:FLN589873 FUW589862:FVJ589873 GES589862:GFF589873 GOO589862:GPB589873 GYK589862:GYX589873 HIG589862:HIT589873 HSC589862:HSP589873 IBY589862:ICL589873 ILU589862:IMH589873 IVQ589862:IWD589873 JFM589862:JFZ589873 JPI589862:JPV589873 JZE589862:JZR589873 KJA589862:KJN589873 KSW589862:KTJ589873 LCS589862:LDF589873 LMO589862:LNB589873 LWK589862:LWX589873 MGG589862:MGT589873 MQC589862:MQP589873 MZY589862:NAL589873 NJU589862:NKH589873 NTQ589862:NUD589873 ODM589862:ODZ589873 ONI589862:ONV589873 OXE589862:OXR589873 PHA589862:PHN589873 PQW589862:PRJ589873 QAS589862:QBF589873 QKO589862:QLB589873 QUK589862:QUX589873 REG589862:RET589873 ROC589862:ROP589873 RXY589862:RYL589873 SHU589862:SIH589873 SRQ589862:SSD589873 TBM589862:TBZ589873 TLI589862:TLV589873 TVE589862:TVR589873 UFA589862:UFN589873 UOW589862:UPJ589873 UYS589862:UZF589873 VIO589862:VJB589873 VSK589862:VSX589873 WCG589862:WCT589873 WMC589862:WMP589873 WVY589862:WWL589873 Q655398:AD655409 JM655398:JZ655409 TI655398:TV655409 ADE655398:ADR655409 ANA655398:ANN655409 AWW655398:AXJ655409 BGS655398:BHF655409 BQO655398:BRB655409 CAK655398:CAX655409 CKG655398:CKT655409 CUC655398:CUP655409 DDY655398:DEL655409 DNU655398:DOH655409 DXQ655398:DYD655409 EHM655398:EHZ655409 ERI655398:ERV655409 FBE655398:FBR655409 FLA655398:FLN655409 FUW655398:FVJ655409 GES655398:GFF655409 GOO655398:GPB655409 GYK655398:GYX655409 HIG655398:HIT655409 HSC655398:HSP655409 IBY655398:ICL655409 ILU655398:IMH655409 IVQ655398:IWD655409 JFM655398:JFZ655409 JPI655398:JPV655409 JZE655398:JZR655409 KJA655398:KJN655409 KSW655398:KTJ655409 LCS655398:LDF655409 LMO655398:LNB655409 LWK655398:LWX655409 MGG655398:MGT655409 MQC655398:MQP655409 MZY655398:NAL655409 NJU655398:NKH655409 NTQ655398:NUD655409 ODM655398:ODZ655409 ONI655398:ONV655409 OXE655398:OXR655409 PHA655398:PHN655409 PQW655398:PRJ655409 QAS655398:QBF655409 QKO655398:QLB655409 QUK655398:QUX655409 REG655398:RET655409 ROC655398:ROP655409 RXY655398:RYL655409 SHU655398:SIH655409 SRQ655398:SSD655409 TBM655398:TBZ655409 TLI655398:TLV655409 TVE655398:TVR655409 UFA655398:UFN655409 UOW655398:UPJ655409 UYS655398:UZF655409 VIO655398:VJB655409 VSK655398:VSX655409 WCG655398:WCT655409 WMC655398:WMP655409 WVY655398:WWL655409 Q720934:AD720945 JM720934:JZ720945 TI720934:TV720945 ADE720934:ADR720945 ANA720934:ANN720945 AWW720934:AXJ720945 BGS720934:BHF720945 BQO720934:BRB720945 CAK720934:CAX720945 CKG720934:CKT720945 CUC720934:CUP720945 DDY720934:DEL720945 DNU720934:DOH720945 DXQ720934:DYD720945 EHM720934:EHZ720945 ERI720934:ERV720945 FBE720934:FBR720945 FLA720934:FLN720945 FUW720934:FVJ720945 GES720934:GFF720945 GOO720934:GPB720945 GYK720934:GYX720945 HIG720934:HIT720945 HSC720934:HSP720945 IBY720934:ICL720945 ILU720934:IMH720945 IVQ720934:IWD720945 JFM720934:JFZ720945 JPI720934:JPV720945 JZE720934:JZR720945 KJA720934:KJN720945 KSW720934:KTJ720945 LCS720934:LDF720945 LMO720934:LNB720945 LWK720934:LWX720945 MGG720934:MGT720945 MQC720934:MQP720945 MZY720934:NAL720945 NJU720934:NKH720945 NTQ720934:NUD720945 ODM720934:ODZ720945 ONI720934:ONV720945 OXE720934:OXR720945 PHA720934:PHN720945 PQW720934:PRJ720945 QAS720934:QBF720945 QKO720934:QLB720945 QUK720934:QUX720945 REG720934:RET720945 ROC720934:ROP720945 RXY720934:RYL720945 SHU720934:SIH720945 SRQ720934:SSD720945 TBM720934:TBZ720945 TLI720934:TLV720945 TVE720934:TVR720945 UFA720934:UFN720945 UOW720934:UPJ720945 UYS720934:UZF720945 VIO720934:VJB720945 VSK720934:VSX720945 WCG720934:WCT720945 WMC720934:WMP720945 WVY720934:WWL720945 Q786470:AD786481 JM786470:JZ786481 TI786470:TV786481 ADE786470:ADR786481 ANA786470:ANN786481 AWW786470:AXJ786481 BGS786470:BHF786481 BQO786470:BRB786481 CAK786470:CAX786481 CKG786470:CKT786481 CUC786470:CUP786481 DDY786470:DEL786481 DNU786470:DOH786481 DXQ786470:DYD786481 EHM786470:EHZ786481 ERI786470:ERV786481 FBE786470:FBR786481 FLA786470:FLN786481 FUW786470:FVJ786481 GES786470:GFF786481 GOO786470:GPB786481 GYK786470:GYX786481 HIG786470:HIT786481 HSC786470:HSP786481 IBY786470:ICL786481 ILU786470:IMH786481 IVQ786470:IWD786481 JFM786470:JFZ786481 JPI786470:JPV786481 JZE786470:JZR786481 KJA786470:KJN786481 KSW786470:KTJ786481 LCS786470:LDF786481 LMO786470:LNB786481 LWK786470:LWX786481 MGG786470:MGT786481 MQC786470:MQP786481 MZY786470:NAL786481 NJU786470:NKH786481 NTQ786470:NUD786481 ODM786470:ODZ786481 ONI786470:ONV786481 OXE786470:OXR786481 PHA786470:PHN786481 PQW786470:PRJ786481 QAS786470:QBF786481 QKO786470:QLB786481 QUK786470:QUX786481 REG786470:RET786481 ROC786470:ROP786481 RXY786470:RYL786481 SHU786470:SIH786481 SRQ786470:SSD786481 TBM786470:TBZ786481 TLI786470:TLV786481 TVE786470:TVR786481 UFA786470:UFN786481 UOW786470:UPJ786481 UYS786470:UZF786481 VIO786470:VJB786481 VSK786470:VSX786481 WCG786470:WCT786481 WMC786470:WMP786481 WVY786470:WWL786481 Q852006:AD852017 JM852006:JZ852017 TI852006:TV852017 ADE852006:ADR852017 ANA852006:ANN852017 AWW852006:AXJ852017 BGS852006:BHF852017 BQO852006:BRB852017 CAK852006:CAX852017 CKG852006:CKT852017 CUC852006:CUP852017 DDY852006:DEL852017 DNU852006:DOH852017 DXQ852006:DYD852017 EHM852006:EHZ852017 ERI852006:ERV852017 FBE852006:FBR852017 FLA852006:FLN852017 FUW852006:FVJ852017 GES852006:GFF852017 GOO852006:GPB852017 GYK852006:GYX852017 HIG852006:HIT852017 HSC852006:HSP852017 IBY852006:ICL852017 ILU852006:IMH852017 IVQ852006:IWD852017 JFM852006:JFZ852017 JPI852006:JPV852017 JZE852006:JZR852017 KJA852006:KJN852017 KSW852006:KTJ852017 LCS852006:LDF852017 LMO852006:LNB852017 LWK852006:LWX852017 MGG852006:MGT852017 MQC852006:MQP852017 MZY852006:NAL852017 NJU852006:NKH852017 NTQ852006:NUD852017 ODM852006:ODZ852017 ONI852006:ONV852017 OXE852006:OXR852017 PHA852006:PHN852017 PQW852006:PRJ852017 QAS852006:QBF852017 QKO852006:QLB852017 QUK852006:QUX852017 REG852006:RET852017 ROC852006:ROP852017 RXY852006:RYL852017 SHU852006:SIH852017 SRQ852006:SSD852017 TBM852006:TBZ852017 TLI852006:TLV852017 TVE852006:TVR852017 UFA852006:UFN852017 UOW852006:UPJ852017 UYS852006:UZF852017 VIO852006:VJB852017 VSK852006:VSX852017 WCG852006:WCT852017 WMC852006:WMP852017 WVY852006:WWL852017 Q917542:AD917553 JM917542:JZ917553 TI917542:TV917553 ADE917542:ADR917553 ANA917542:ANN917553 AWW917542:AXJ917553 BGS917542:BHF917553 BQO917542:BRB917553 CAK917542:CAX917553 CKG917542:CKT917553 CUC917542:CUP917553 DDY917542:DEL917553 DNU917542:DOH917553 DXQ917542:DYD917553 EHM917542:EHZ917553 ERI917542:ERV917553 FBE917542:FBR917553 FLA917542:FLN917553 FUW917542:FVJ917553 GES917542:GFF917553 GOO917542:GPB917553 GYK917542:GYX917553 HIG917542:HIT917553 HSC917542:HSP917553 IBY917542:ICL917553 ILU917542:IMH917553 IVQ917542:IWD917553 JFM917542:JFZ917553 JPI917542:JPV917553 JZE917542:JZR917553 KJA917542:KJN917553 KSW917542:KTJ917553 LCS917542:LDF917553 LMO917542:LNB917553 LWK917542:LWX917553 MGG917542:MGT917553 MQC917542:MQP917553 MZY917542:NAL917553 NJU917542:NKH917553 NTQ917542:NUD917553 ODM917542:ODZ917553 ONI917542:ONV917553 OXE917542:OXR917553 PHA917542:PHN917553 PQW917542:PRJ917553 QAS917542:QBF917553 QKO917542:QLB917553 QUK917542:QUX917553 REG917542:RET917553 ROC917542:ROP917553 RXY917542:RYL917553 SHU917542:SIH917553 SRQ917542:SSD917553 TBM917542:TBZ917553 TLI917542:TLV917553 TVE917542:TVR917553 UFA917542:UFN917553 UOW917542:UPJ917553 UYS917542:UZF917553 VIO917542:VJB917553 VSK917542:VSX917553 WCG917542:WCT917553 WMC917542:WMP917553 WVY917542:WWL917553 Q983078:AD983089 JM983078:JZ983089 TI983078:TV983089 ADE983078:ADR983089 ANA983078:ANN983089 AWW983078:AXJ983089 BGS983078:BHF983089 BQO983078:BRB983089 CAK983078:CAX983089 CKG983078:CKT983089 CUC983078:CUP983089 DDY983078:DEL983089 DNU983078:DOH983089 DXQ983078:DYD983089 EHM983078:EHZ983089 ERI983078:ERV983089 FBE983078:FBR983089 FLA983078:FLN983089 FUW983078:FVJ983089 GES983078:GFF983089 GOO983078:GPB983089 GYK983078:GYX983089 HIG983078:HIT983089 HSC983078:HSP983089 IBY983078:ICL983089 ILU983078:IMH983089 IVQ983078:IWD983089 JFM983078:JFZ983089 JPI983078:JPV983089 JZE983078:JZR983089 KJA983078:KJN983089 KSW983078:KTJ983089 LCS983078:LDF983089 LMO983078:LNB983089 LWK983078:LWX983089 MGG983078:MGT983089 MQC983078:MQP983089 MZY983078:NAL983089 NJU983078:NKH983089 NTQ983078:NUD983089 ODM983078:ODZ983089 ONI983078:ONV983089 OXE983078:OXR983089 PHA983078:PHN983089 PQW983078:PRJ983089 QAS983078:QBF983089 QKO983078:QLB983089 QUK983078:QUX983089 REG983078:RET983089 ROC983078:ROP983089 RXY983078:RYL983089 SHU983078:SIH983089 SRQ983078:SSD983089 TBM983078:TBZ983089 TLI983078:TLV983089 TVE983078:TVR983089 UFA983078:UFN983089 UOW983078:UPJ983089 UYS983078:UZF983089 VIO983078:VJB983089 VSK983078:VSX983089 WCG983078:WCT983089 WMC983078:WMP983089 WVY983078:WWL983089" xr:uid="{B97A2D73-6148-48D1-88A6-3990843531B1}">
      <formula1>2000</formula1>
    </dataValidation>
  </dataValidations>
  <printOptions horizontalCentered="1"/>
  <pageMargins left="0.19685039370078741" right="0.19685039370078741" top="0.19685039370078741" bottom="0.19685039370078741" header="0" footer="0"/>
  <pageSetup scale="25" fitToHeight="0"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8432E-2378-4504-91D6-036845131148}">
  <sheetPr>
    <tabColor rgb="FF00B0F0"/>
    <pageSetUpPr fitToPage="1"/>
  </sheetPr>
  <dimension ref="A1:BI18"/>
  <sheetViews>
    <sheetView zoomScale="75" zoomScaleNormal="75" workbookViewId="0">
      <selection activeCell="C58" sqref="C58"/>
    </sheetView>
  </sheetViews>
  <sheetFormatPr baseColWidth="10" defaultColWidth="11.42578125" defaultRowHeight="15"/>
  <cols>
    <col min="57" max="57" width="13.28515625" bestFit="1" customWidth="1"/>
    <col min="58" max="58" width="14.7109375" customWidth="1"/>
    <col min="59" max="59" width="18.28515625" bestFit="1" customWidth="1"/>
    <col min="60" max="60" width="12.140625" bestFit="1" customWidth="1"/>
  </cols>
  <sheetData>
    <row r="1" spans="1:61" ht="90">
      <c r="A1" s="287" t="s">
        <v>589</v>
      </c>
      <c r="B1" s="287" t="s">
        <v>590</v>
      </c>
      <c r="C1" s="288" t="s">
        <v>591</v>
      </c>
      <c r="D1" s="288" t="s">
        <v>592</v>
      </c>
      <c r="E1" s="288" t="s">
        <v>593</v>
      </c>
      <c r="F1" s="288" t="s">
        <v>594</v>
      </c>
      <c r="G1" s="288" t="s">
        <v>595</v>
      </c>
      <c r="H1" s="288" t="s">
        <v>596</v>
      </c>
      <c r="I1" s="288" t="s">
        <v>597</v>
      </c>
      <c r="J1" s="289" t="s">
        <v>598</v>
      </c>
      <c r="K1" s="289" t="s">
        <v>599</v>
      </c>
      <c r="L1" s="288" t="s">
        <v>593</v>
      </c>
      <c r="M1" s="288" t="s">
        <v>594</v>
      </c>
      <c r="N1" s="288" t="s">
        <v>600</v>
      </c>
      <c r="O1" s="288" t="s">
        <v>601</v>
      </c>
      <c r="P1" s="288" t="s">
        <v>541</v>
      </c>
      <c r="Q1" s="289" t="s">
        <v>602</v>
      </c>
      <c r="R1" s="289" t="s">
        <v>603</v>
      </c>
      <c r="S1" s="289" t="s">
        <v>604</v>
      </c>
      <c r="T1" s="289" t="s">
        <v>605</v>
      </c>
      <c r="U1" s="289" t="s">
        <v>606</v>
      </c>
      <c r="V1" s="289" t="s">
        <v>607</v>
      </c>
      <c r="W1" s="289" t="s">
        <v>608</v>
      </c>
      <c r="X1" s="289" t="s">
        <v>609</v>
      </c>
      <c r="Y1" s="289" t="s">
        <v>610</v>
      </c>
      <c r="Z1" s="288" t="s">
        <v>611</v>
      </c>
      <c r="AA1" s="288" t="s">
        <v>612</v>
      </c>
      <c r="AB1" s="288" t="s">
        <v>613</v>
      </c>
      <c r="AC1" s="288" t="s">
        <v>541</v>
      </c>
      <c r="AD1" s="288" t="s">
        <v>614</v>
      </c>
      <c r="AE1" s="289" t="s">
        <v>615</v>
      </c>
      <c r="AF1" s="289" t="s">
        <v>616</v>
      </c>
      <c r="AG1" s="289" t="s">
        <v>617</v>
      </c>
      <c r="AH1" s="288" t="s">
        <v>618</v>
      </c>
      <c r="AI1" s="288" t="s">
        <v>619</v>
      </c>
      <c r="AJ1" s="288" t="s">
        <v>620</v>
      </c>
      <c r="AK1" s="288" t="s">
        <v>621</v>
      </c>
      <c r="AL1" s="288" t="s">
        <v>622</v>
      </c>
      <c r="AM1" s="289" t="s">
        <v>623</v>
      </c>
      <c r="AN1" s="289" t="s">
        <v>624</v>
      </c>
      <c r="AO1" s="289" t="s">
        <v>625</v>
      </c>
      <c r="AP1" s="289" t="s">
        <v>626</v>
      </c>
      <c r="AQ1" s="289" t="s">
        <v>627</v>
      </c>
      <c r="AR1" s="289" t="s">
        <v>628</v>
      </c>
      <c r="AS1" s="288" t="s">
        <v>629</v>
      </c>
      <c r="AT1" s="288" t="s">
        <v>630</v>
      </c>
      <c r="AU1" s="288" t="s">
        <v>631</v>
      </c>
      <c r="AV1" s="288" t="s">
        <v>632</v>
      </c>
      <c r="AW1" s="288" t="s">
        <v>633</v>
      </c>
      <c r="AX1" s="290" t="s">
        <v>634</v>
      </c>
      <c r="AY1" s="290" t="s">
        <v>635</v>
      </c>
      <c r="AZ1" s="290" t="s">
        <v>636</v>
      </c>
      <c r="BA1" s="287" t="s">
        <v>637</v>
      </c>
      <c r="BB1" s="287"/>
      <c r="BC1" s="287" t="s">
        <v>343</v>
      </c>
      <c r="BD1" s="287" t="s">
        <v>344</v>
      </c>
      <c r="BE1" s="287" t="s">
        <v>345</v>
      </c>
    </row>
    <row r="2" spans="1:61">
      <c r="A2" s="291" t="s">
        <v>638</v>
      </c>
      <c r="B2" s="291">
        <v>7673</v>
      </c>
      <c r="C2" s="292" t="s">
        <v>639</v>
      </c>
      <c r="D2" s="292" t="s">
        <v>640</v>
      </c>
      <c r="E2" s="293">
        <v>44562</v>
      </c>
      <c r="F2" s="293">
        <v>44565</v>
      </c>
      <c r="G2" s="292" t="s">
        <v>641</v>
      </c>
      <c r="H2" s="293">
        <v>44562</v>
      </c>
      <c r="I2" s="292" t="s">
        <v>642</v>
      </c>
      <c r="J2" s="292" t="s">
        <v>643</v>
      </c>
      <c r="K2" s="291" t="s">
        <v>644</v>
      </c>
      <c r="L2" s="293">
        <v>44230</v>
      </c>
      <c r="M2" s="293">
        <v>44561</v>
      </c>
      <c r="N2" s="292" t="s">
        <v>645</v>
      </c>
      <c r="O2" s="292" t="s">
        <v>646</v>
      </c>
      <c r="P2" s="292" t="s">
        <v>647</v>
      </c>
      <c r="Q2" s="291" t="s">
        <v>648</v>
      </c>
      <c r="R2" s="291" t="s">
        <v>649</v>
      </c>
      <c r="S2" s="291" t="s">
        <v>650</v>
      </c>
      <c r="T2" s="292" t="s">
        <v>651</v>
      </c>
      <c r="U2" s="292" t="s">
        <v>349</v>
      </c>
      <c r="V2" s="292" t="s">
        <v>652</v>
      </c>
      <c r="W2" s="292" t="s">
        <v>653</v>
      </c>
      <c r="X2" s="292" t="s">
        <v>654</v>
      </c>
      <c r="Y2" s="292" t="s">
        <v>655</v>
      </c>
      <c r="Z2" s="292" t="s">
        <v>656</v>
      </c>
      <c r="AA2" s="292" t="s">
        <v>657</v>
      </c>
      <c r="AB2" s="292" t="s">
        <v>658</v>
      </c>
      <c r="AC2" s="292" t="s">
        <v>659</v>
      </c>
      <c r="AD2" s="292" t="s">
        <v>660</v>
      </c>
      <c r="AE2" s="292" t="s">
        <v>661</v>
      </c>
      <c r="AF2" s="292" t="s">
        <v>662</v>
      </c>
      <c r="AG2" s="291" t="s">
        <v>663</v>
      </c>
      <c r="AH2" s="292" t="s">
        <v>664</v>
      </c>
      <c r="AI2" s="292" t="s">
        <v>665</v>
      </c>
      <c r="AJ2" s="292" t="s">
        <v>666</v>
      </c>
      <c r="AK2" s="292" t="s">
        <v>667</v>
      </c>
      <c r="AL2" s="292" t="s">
        <v>668</v>
      </c>
      <c r="AM2" s="294">
        <v>5250000</v>
      </c>
      <c r="AN2" s="294">
        <v>0</v>
      </c>
      <c r="AO2" s="294">
        <v>0</v>
      </c>
      <c r="AP2" s="294">
        <v>5250000</v>
      </c>
      <c r="AQ2" s="294">
        <v>0</v>
      </c>
      <c r="AR2" s="294">
        <v>5250000</v>
      </c>
      <c r="AS2" s="291" t="s">
        <v>669</v>
      </c>
      <c r="AT2" s="291" t="s">
        <v>640</v>
      </c>
      <c r="AU2" s="291" t="s">
        <v>670</v>
      </c>
      <c r="AV2" s="291" t="s">
        <v>640</v>
      </c>
      <c r="AW2" s="295">
        <v>44564</v>
      </c>
      <c r="AX2" s="291"/>
      <c r="AY2" s="291"/>
      <c r="AZ2" s="296"/>
      <c r="BA2" s="291"/>
      <c r="BB2" s="291" t="s">
        <v>343</v>
      </c>
      <c r="BC2" s="297">
        <v>5250000</v>
      </c>
      <c r="BD2" s="291">
        <v>0</v>
      </c>
      <c r="BE2" s="291">
        <v>0</v>
      </c>
    </row>
    <row r="3" spans="1:61">
      <c r="A3" s="291" t="s">
        <v>671</v>
      </c>
      <c r="B3" s="291">
        <v>7673</v>
      </c>
      <c r="C3" s="292" t="s">
        <v>639</v>
      </c>
      <c r="D3" s="292" t="s">
        <v>640</v>
      </c>
      <c r="E3" s="293">
        <v>44562</v>
      </c>
      <c r="F3" s="293">
        <v>44565</v>
      </c>
      <c r="G3" s="292" t="s">
        <v>641</v>
      </c>
      <c r="H3" s="293">
        <v>44562</v>
      </c>
      <c r="I3" s="292" t="s">
        <v>672</v>
      </c>
      <c r="J3" s="292" t="s">
        <v>673</v>
      </c>
      <c r="K3" s="291" t="s">
        <v>674</v>
      </c>
      <c r="L3" s="293">
        <v>44319</v>
      </c>
      <c r="M3" s="293">
        <v>44377</v>
      </c>
      <c r="N3" s="292" t="s">
        <v>675</v>
      </c>
      <c r="O3" s="292" t="s">
        <v>646</v>
      </c>
      <c r="P3" s="292" t="s">
        <v>647</v>
      </c>
      <c r="Q3" s="291" t="s">
        <v>676</v>
      </c>
      <c r="R3" s="291" t="s">
        <v>677</v>
      </c>
      <c r="S3" s="291" t="s">
        <v>678</v>
      </c>
      <c r="T3" s="292" t="s">
        <v>651</v>
      </c>
      <c r="U3" s="292" t="s">
        <v>349</v>
      </c>
      <c r="V3" s="292" t="s">
        <v>652</v>
      </c>
      <c r="W3" s="292" t="s">
        <v>653</v>
      </c>
      <c r="X3" s="292" t="s">
        <v>679</v>
      </c>
      <c r="Y3" s="292" t="s">
        <v>427</v>
      </c>
      <c r="Z3" s="292" t="s">
        <v>680</v>
      </c>
      <c r="AA3" s="292" t="s">
        <v>681</v>
      </c>
      <c r="AB3" s="292" t="s">
        <v>658</v>
      </c>
      <c r="AC3" s="292" t="s">
        <v>659</v>
      </c>
      <c r="AD3" s="292" t="s">
        <v>682</v>
      </c>
      <c r="AE3" s="292" t="s">
        <v>683</v>
      </c>
      <c r="AF3" s="292" t="s">
        <v>684</v>
      </c>
      <c r="AG3" s="291" t="s">
        <v>685</v>
      </c>
      <c r="AH3" s="292" t="s">
        <v>664</v>
      </c>
      <c r="AI3" s="292" t="s">
        <v>665</v>
      </c>
      <c r="AJ3" s="292" t="s">
        <v>666</v>
      </c>
      <c r="AK3" s="292" t="s">
        <v>667</v>
      </c>
      <c r="AL3" s="292" t="s">
        <v>668</v>
      </c>
      <c r="AM3" s="294">
        <v>4167765</v>
      </c>
      <c r="AN3" s="294">
        <v>0</v>
      </c>
      <c r="AO3" s="294">
        <v>0</v>
      </c>
      <c r="AP3" s="294">
        <v>4167765</v>
      </c>
      <c r="AQ3" s="294">
        <v>0</v>
      </c>
      <c r="AR3" s="294">
        <v>4167765</v>
      </c>
      <c r="AS3" s="291" t="s">
        <v>686</v>
      </c>
      <c r="AT3" s="291" t="s">
        <v>640</v>
      </c>
      <c r="AU3" s="291" t="s">
        <v>687</v>
      </c>
      <c r="AV3" s="291" t="s">
        <v>640</v>
      </c>
      <c r="AW3" s="295">
        <v>44564</v>
      </c>
      <c r="AX3" s="291" t="s">
        <v>688</v>
      </c>
      <c r="AY3" s="291"/>
      <c r="AZ3" s="296"/>
      <c r="BA3" s="291" t="s">
        <v>689</v>
      </c>
      <c r="BB3" s="291" t="s">
        <v>343</v>
      </c>
      <c r="BC3" s="297">
        <v>4167765</v>
      </c>
      <c r="BD3" s="291">
        <v>0</v>
      </c>
      <c r="BE3" s="291">
        <v>0</v>
      </c>
    </row>
    <row r="4" spans="1:61">
      <c r="A4" s="291" t="s">
        <v>690</v>
      </c>
      <c r="B4" s="291">
        <v>7673</v>
      </c>
      <c r="C4" s="292" t="s">
        <v>639</v>
      </c>
      <c r="D4" s="292" t="s">
        <v>640</v>
      </c>
      <c r="E4" s="293">
        <v>44562</v>
      </c>
      <c r="F4" s="293">
        <v>44565</v>
      </c>
      <c r="G4" s="292" t="s">
        <v>641</v>
      </c>
      <c r="H4" s="293">
        <v>44562</v>
      </c>
      <c r="I4" s="292" t="s">
        <v>672</v>
      </c>
      <c r="J4" s="292" t="s">
        <v>673</v>
      </c>
      <c r="K4" s="291" t="s">
        <v>691</v>
      </c>
      <c r="L4" s="293">
        <v>44378</v>
      </c>
      <c r="M4" s="293">
        <v>44561</v>
      </c>
      <c r="N4" s="292" t="s">
        <v>692</v>
      </c>
      <c r="O4" s="292" t="s">
        <v>646</v>
      </c>
      <c r="P4" s="292" t="s">
        <v>647</v>
      </c>
      <c r="Q4" s="291" t="s">
        <v>693</v>
      </c>
      <c r="R4" s="291" t="s">
        <v>694</v>
      </c>
      <c r="S4" s="291" t="s">
        <v>695</v>
      </c>
      <c r="T4" s="292" t="s">
        <v>651</v>
      </c>
      <c r="U4" s="292" t="s">
        <v>349</v>
      </c>
      <c r="V4" s="292" t="s">
        <v>652</v>
      </c>
      <c r="W4" s="292" t="s">
        <v>653</v>
      </c>
      <c r="X4" s="292" t="s">
        <v>679</v>
      </c>
      <c r="Y4" s="292" t="s">
        <v>427</v>
      </c>
      <c r="Z4" s="292" t="s">
        <v>680</v>
      </c>
      <c r="AA4" s="292" t="s">
        <v>681</v>
      </c>
      <c r="AB4" s="292" t="s">
        <v>658</v>
      </c>
      <c r="AC4" s="292" t="s">
        <v>659</v>
      </c>
      <c r="AD4" s="292" t="s">
        <v>682</v>
      </c>
      <c r="AE4" s="292" t="s">
        <v>683</v>
      </c>
      <c r="AF4" s="292" t="s">
        <v>684</v>
      </c>
      <c r="AG4" s="291" t="s">
        <v>685</v>
      </c>
      <c r="AH4" s="292" t="s">
        <v>664</v>
      </c>
      <c r="AI4" s="292" t="s">
        <v>665</v>
      </c>
      <c r="AJ4" s="292" t="s">
        <v>666</v>
      </c>
      <c r="AK4" s="292" t="s">
        <v>667</v>
      </c>
      <c r="AL4" s="292" t="s">
        <v>668</v>
      </c>
      <c r="AM4" s="294">
        <v>253060895</v>
      </c>
      <c r="AN4" s="294">
        <v>0</v>
      </c>
      <c r="AO4" s="294">
        <v>0</v>
      </c>
      <c r="AP4" s="294">
        <v>253060895</v>
      </c>
      <c r="AQ4" s="294">
        <v>0</v>
      </c>
      <c r="AR4" s="294">
        <v>253060895</v>
      </c>
      <c r="AS4" s="291" t="s">
        <v>696</v>
      </c>
      <c r="AT4" s="291" t="s">
        <v>640</v>
      </c>
      <c r="AU4" s="291" t="s">
        <v>697</v>
      </c>
      <c r="AV4" s="291" t="s">
        <v>640</v>
      </c>
      <c r="AW4" s="295">
        <v>44564</v>
      </c>
      <c r="AX4" s="291" t="s">
        <v>698</v>
      </c>
      <c r="AY4" s="291"/>
      <c r="AZ4" s="296">
        <v>44620</v>
      </c>
      <c r="BA4" s="291" t="s">
        <v>689</v>
      </c>
      <c r="BB4" s="291" t="s">
        <v>343</v>
      </c>
      <c r="BC4" s="406">
        <f>AR4*94%</f>
        <v>237877241.29999998</v>
      </c>
      <c r="BD4" s="291">
        <v>0</v>
      </c>
      <c r="BE4" s="406">
        <f>AR4*6%</f>
        <v>15183653.699999999</v>
      </c>
      <c r="BF4" t="s">
        <v>699</v>
      </c>
      <c r="BG4" s="407"/>
      <c r="BH4" s="404"/>
      <c r="BI4" s="404"/>
    </row>
    <row r="5" spans="1:61">
      <c r="A5" s="291" t="s">
        <v>700</v>
      </c>
      <c r="B5" s="291">
        <v>7673</v>
      </c>
      <c r="C5" s="292" t="s">
        <v>639</v>
      </c>
      <c r="D5" s="292" t="s">
        <v>640</v>
      </c>
      <c r="E5" s="293">
        <v>44562</v>
      </c>
      <c r="F5" s="293">
        <v>44565</v>
      </c>
      <c r="G5" s="292" t="s">
        <v>641</v>
      </c>
      <c r="H5" s="293">
        <v>44562</v>
      </c>
      <c r="I5" s="292" t="s">
        <v>701</v>
      </c>
      <c r="J5" s="292" t="s">
        <v>702</v>
      </c>
      <c r="K5" s="291" t="s">
        <v>703</v>
      </c>
      <c r="L5" s="293">
        <v>44411</v>
      </c>
      <c r="M5" s="293">
        <v>44561</v>
      </c>
      <c r="N5" s="292" t="s">
        <v>704</v>
      </c>
      <c r="O5" s="292" t="s">
        <v>646</v>
      </c>
      <c r="P5" s="292" t="s">
        <v>647</v>
      </c>
      <c r="Q5" s="291" t="s">
        <v>705</v>
      </c>
      <c r="R5" s="291" t="s">
        <v>706</v>
      </c>
      <c r="S5" s="291" t="s">
        <v>707</v>
      </c>
      <c r="T5" s="292" t="s">
        <v>651</v>
      </c>
      <c r="U5" s="292" t="s">
        <v>349</v>
      </c>
      <c r="V5" s="292" t="s">
        <v>652</v>
      </c>
      <c r="W5" s="292" t="s">
        <v>653</v>
      </c>
      <c r="X5" s="292" t="s">
        <v>679</v>
      </c>
      <c r="Y5" s="292" t="s">
        <v>427</v>
      </c>
      <c r="Z5" s="292" t="s">
        <v>680</v>
      </c>
      <c r="AA5" s="292" t="s">
        <v>681</v>
      </c>
      <c r="AB5" s="292" t="s">
        <v>708</v>
      </c>
      <c r="AC5" s="292" t="s">
        <v>709</v>
      </c>
      <c r="AD5" s="292" t="s">
        <v>710</v>
      </c>
      <c r="AE5" s="292" t="s">
        <v>683</v>
      </c>
      <c r="AF5" s="292" t="s">
        <v>711</v>
      </c>
      <c r="AG5" s="291" t="s">
        <v>712</v>
      </c>
      <c r="AH5" s="292" t="s">
        <v>664</v>
      </c>
      <c r="AI5" s="292" t="s">
        <v>665</v>
      </c>
      <c r="AJ5" s="292" t="s">
        <v>713</v>
      </c>
      <c r="AK5" s="292" t="s">
        <v>714</v>
      </c>
      <c r="AL5" s="292" t="s">
        <v>668</v>
      </c>
      <c r="AM5" s="294">
        <v>2712013</v>
      </c>
      <c r="AN5" s="294">
        <v>0</v>
      </c>
      <c r="AO5" s="294">
        <v>0</v>
      </c>
      <c r="AP5" s="294">
        <v>2712013</v>
      </c>
      <c r="AQ5" s="294">
        <v>0</v>
      </c>
      <c r="AR5" s="294">
        <v>2712013</v>
      </c>
      <c r="AS5" s="291" t="s">
        <v>715</v>
      </c>
      <c r="AT5" s="291" t="s">
        <v>640</v>
      </c>
      <c r="AU5" s="291" t="s">
        <v>716</v>
      </c>
      <c r="AV5" s="291" t="s">
        <v>640</v>
      </c>
      <c r="AW5" s="295">
        <v>44564</v>
      </c>
      <c r="AX5" s="291"/>
      <c r="AY5" s="291"/>
      <c r="AZ5" s="296">
        <v>44561</v>
      </c>
      <c r="BA5" s="291"/>
      <c r="BB5" s="291" t="s">
        <v>345</v>
      </c>
      <c r="BC5" s="291">
        <v>0</v>
      </c>
      <c r="BD5" s="291">
        <v>0</v>
      </c>
      <c r="BE5" s="297">
        <v>2712013</v>
      </c>
    </row>
    <row r="6" spans="1:61">
      <c r="A6" s="291" t="s">
        <v>717</v>
      </c>
      <c r="B6" s="291">
        <v>7673</v>
      </c>
      <c r="C6" s="292" t="s">
        <v>639</v>
      </c>
      <c r="D6" s="292" t="s">
        <v>640</v>
      </c>
      <c r="E6" s="293">
        <v>44562</v>
      </c>
      <c r="F6" s="293">
        <v>44565</v>
      </c>
      <c r="G6" s="292" t="s">
        <v>641</v>
      </c>
      <c r="H6" s="293">
        <v>44562</v>
      </c>
      <c r="I6" s="292" t="s">
        <v>672</v>
      </c>
      <c r="J6" s="292" t="s">
        <v>673</v>
      </c>
      <c r="K6" s="291" t="s">
        <v>718</v>
      </c>
      <c r="L6" s="293">
        <v>44477</v>
      </c>
      <c r="M6" s="293">
        <v>44561</v>
      </c>
      <c r="N6" s="292" t="s">
        <v>719</v>
      </c>
      <c r="O6" s="292" t="s">
        <v>646</v>
      </c>
      <c r="P6" s="292" t="s">
        <v>647</v>
      </c>
      <c r="Q6" s="291" t="s">
        <v>720</v>
      </c>
      <c r="R6" s="291" t="s">
        <v>721</v>
      </c>
      <c r="S6" s="291" t="s">
        <v>722</v>
      </c>
      <c r="T6" s="292" t="s">
        <v>651</v>
      </c>
      <c r="U6" s="292" t="s">
        <v>349</v>
      </c>
      <c r="V6" s="292" t="s">
        <v>652</v>
      </c>
      <c r="W6" s="292" t="s">
        <v>653</v>
      </c>
      <c r="X6" s="292" t="s">
        <v>679</v>
      </c>
      <c r="Y6" s="292" t="s">
        <v>427</v>
      </c>
      <c r="Z6" s="292" t="s">
        <v>680</v>
      </c>
      <c r="AA6" s="292" t="s">
        <v>681</v>
      </c>
      <c r="AB6" s="292" t="s">
        <v>658</v>
      </c>
      <c r="AC6" s="292" t="s">
        <v>659</v>
      </c>
      <c r="AD6" s="292" t="s">
        <v>723</v>
      </c>
      <c r="AE6" s="292" t="s">
        <v>683</v>
      </c>
      <c r="AF6" s="292" t="s">
        <v>724</v>
      </c>
      <c r="AG6" s="291" t="s">
        <v>725</v>
      </c>
      <c r="AH6" s="292" t="s">
        <v>726</v>
      </c>
      <c r="AI6" s="292" t="s">
        <v>727</v>
      </c>
      <c r="AJ6" s="292" t="s">
        <v>728</v>
      </c>
      <c r="AK6" s="292" t="s">
        <v>729</v>
      </c>
      <c r="AL6" s="292" t="s">
        <v>668</v>
      </c>
      <c r="AM6" s="294">
        <v>24000003</v>
      </c>
      <c r="AN6" s="294">
        <v>0</v>
      </c>
      <c r="AO6" s="294">
        <v>0</v>
      </c>
      <c r="AP6" s="294">
        <v>24000003</v>
      </c>
      <c r="AQ6" s="294">
        <v>0</v>
      </c>
      <c r="AR6" s="294">
        <v>24000003</v>
      </c>
      <c r="AS6" s="291" t="s">
        <v>730</v>
      </c>
      <c r="AT6" s="291" t="s">
        <v>640</v>
      </c>
      <c r="AU6" s="291" t="s">
        <v>731</v>
      </c>
      <c r="AV6" s="291" t="s">
        <v>640</v>
      </c>
      <c r="AW6" s="295">
        <v>44564</v>
      </c>
      <c r="AX6" s="291" t="s">
        <v>732</v>
      </c>
      <c r="AY6" s="291"/>
      <c r="AZ6" s="296">
        <v>44633</v>
      </c>
      <c r="BA6" s="291"/>
      <c r="BB6" s="291" t="s">
        <v>344</v>
      </c>
      <c r="BC6" s="291">
        <v>0</v>
      </c>
      <c r="BD6" s="297">
        <v>24000003</v>
      </c>
      <c r="BE6" s="291">
        <v>0</v>
      </c>
    </row>
    <row r="7" spans="1:61">
      <c r="A7" s="291" t="s">
        <v>733</v>
      </c>
      <c r="B7" s="291">
        <v>7673</v>
      </c>
      <c r="C7" s="292" t="s">
        <v>639</v>
      </c>
      <c r="D7" s="292" t="s">
        <v>640</v>
      </c>
      <c r="E7" s="293">
        <v>44562</v>
      </c>
      <c r="F7" s="293">
        <v>44565</v>
      </c>
      <c r="G7" s="292" t="s">
        <v>641</v>
      </c>
      <c r="H7" s="293">
        <v>44562</v>
      </c>
      <c r="I7" s="292" t="s">
        <v>734</v>
      </c>
      <c r="J7" s="292" t="s">
        <v>735</v>
      </c>
      <c r="K7" s="291" t="s">
        <v>736</v>
      </c>
      <c r="L7" s="293">
        <v>44490</v>
      </c>
      <c r="M7" s="293">
        <v>44497</v>
      </c>
      <c r="N7" s="292" t="s">
        <v>737</v>
      </c>
      <c r="O7" s="292" t="s">
        <v>646</v>
      </c>
      <c r="P7" s="292" t="s">
        <v>647</v>
      </c>
      <c r="Q7" s="291" t="s">
        <v>738</v>
      </c>
      <c r="R7" s="291" t="s">
        <v>739</v>
      </c>
      <c r="S7" s="291" t="s">
        <v>740</v>
      </c>
      <c r="T7" s="292" t="s">
        <v>651</v>
      </c>
      <c r="U7" s="292" t="s">
        <v>349</v>
      </c>
      <c r="V7" s="292" t="s">
        <v>652</v>
      </c>
      <c r="W7" s="292" t="s">
        <v>653</v>
      </c>
      <c r="X7" s="292" t="s">
        <v>741</v>
      </c>
      <c r="Y7" s="292" t="s">
        <v>742</v>
      </c>
      <c r="Z7" s="292" t="s">
        <v>680</v>
      </c>
      <c r="AA7" s="292" t="s">
        <v>681</v>
      </c>
      <c r="AB7" s="292" t="s">
        <v>734</v>
      </c>
      <c r="AC7" s="292" t="s">
        <v>743</v>
      </c>
      <c r="AD7" s="292" t="s">
        <v>744</v>
      </c>
      <c r="AE7" s="292" t="s">
        <v>683</v>
      </c>
      <c r="AF7" s="292" t="s">
        <v>745</v>
      </c>
      <c r="AG7" s="291" t="s">
        <v>746</v>
      </c>
      <c r="AH7" s="292" t="s">
        <v>726</v>
      </c>
      <c r="AI7" s="292" t="s">
        <v>727</v>
      </c>
      <c r="AJ7" s="292" t="s">
        <v>728</v>
      </c>
      <c r="AK7" s="292" t="s">
        <v>729</v>
      </c>
      <c r="AL7" s="292" t="s">
        <v>668</v>
      </c>
      <c r="AM7" s="294">
        <v>4759996</v>
      </c>
      <c r="AN7" s="294">
        <v>0</v>
      </c>
      <c r="AO7" s="294">
        <v>0</v>
      </c>
      <c r="AP7" s="294">
        <v>4759996</v>
      </c>
      <c r="AQ7" s="294">
        <v>0</v>
      </c>
      <c r="AR7" s="294">
        <v>4759996</v>
      </c>
      <c r="AS7" s="291" t="s">
        <v>747</v>
      </c>
      <c r="AT7" s="291" t="s">
        <v>640</v>
      </c>
      <c r="AU7" s="291" t="s">
        <v>748</v>
      </c>
      <c r="AV7" s="291" t="s">
        <v>640</v>
      </c>
      <c r="AW7" s="295">
        <v>44564</v>
      </c>
      <c r="AX7" s="291" t="s">
        <v>749</v>
      </c>
      <c r="AY7" s="291" t="s">
        <v>750</v>
      </c>
      <c r="AZ7" s="296">
        <v>44518</v>
      </c>
      <c r="BA7" s="291"/>
      <c r="BB7" s="291" t="s">
        <v>343</v>
      </c>
      <c r="BC7" s="297">
        <v>4759996</v>
      </c>
      <c r="BD7" s="291">
        <v>0</v>
      </c>
      <c r="BE7" s="291">
        <v>0</v>
      </c>
      <c r="BG7" s="408">
        <f>+BC4-'Meta 1'!F24</f>
        <v>-39637722.999999851</v>
      </c>
    </row>
    <row r="8" spans="1:61">
      <c r="A8" s="291" t="s">
        <v>751</v>
      </c>
      <c r="B8" s="291">
        <v>7673</v>
      </c>
      <c r="C8" s="292" t="s">
        <v>639</v>
      </c>
      <c r="D8" s="292" t="s">
        <v>640</v>
      </c>
      <c r="E8" s="293">
        <v>44562</v>
      </c>
      <c r="F8" s="293">
        <v>44565</v>
      </c>
      <c r="G8" s="292" t="s">
        <v>641</v>
      </c>
      <c r="H8" s="293">
        <v>44562</v>
      </c>
      <c r="I8" s="292" t="s">
        <v>752</v>
      </c>
      <c r="J8" s="292" t="s">
        <v>753</v>
      </c>
      <c r="K8" s="291" t="s">
        <v>754</v>
      </c>
      <c r="L8" s="293">
        <v>44525</v>
      </c>
      <c r="M8" s="293">
        <v>44561</v>
      </c>
      <c r="N8" s="292" t="s">
        <v>755</v>
      </c>
      <c r="O8" s="292" t="s">
        <v>646</v>
      </c>
      <c r="P8" s="292" t="s">
        <v>647</v>
      </c>
      <c r="Q8" s="291" t="s">
        <v>756</v>
      </c>
      <c r="R8" s="291" t="s">
        <v>757</v>
      </c>
      <c r="S8" s="291" t="s">
        <v>758</v>
      </c>
      <c r="T8" s="292" t="s">
        <v>651</v>
      </c>
      <c r="U8" s="292" t="s">
        <v>349</v>
      </c>
      <c r="V8" s="292" t="s">
        <v>652</v>
      </c>
      <c r="W8" s="292" t="s">
        <v>653</v>
      </c>
      <c r="X8" s="292" t="s">
        <v>759</v>
      </c>
      <c r="Y8" s="292" t="s">
        <v>760</v>
      </c>
      <c r="Z8" s="292" t="s">
        <v>680</v>
      </c>
      <c r="AA8" s="292" t="s">
        <v>681</v>
      </c>
      <c r="AB8" s="292" t="s">
        <v>658</v>
      </c>
      <c r="AC8" s="292" t="s">
        <v>659</v>
      </c>
      <c r="AD8" s="292" t="s">
        <v>761</v>
      </c>
      <c r="AE8" s="292" t="s">
        <v>683</v>
      </c>
      <c r="AF8" s="292" t="s">
        <v>762</v>
      </c>
      <c r="AG8" s="291" t="s">
        <v>763</v>
      </c>
      <c r="AH8" s="292" t="s">
        <v>726</v>
      </c>
      <c r="AI8" s="292" t="s">
        <v>727</v>
      </c>
      <c r="AJ8" s="292" t="s">
        <v>728</v>
      </c>
      <c r="AK8" s="292" t="s">
        <v>729</v>
      </c>
      <c r="AL8" s="292" t="s">
        <v>668</v>
      </c>
      <c r="AM8" s="294">
        <v>84577253</v>
      </c>
      <c r="AN8" s="294">
        <v>0</v>
      </c>
      <c r="AO8" s="294">
        <v>0</v>
      </c>
      <c r="AP8" s="294">
        <v>84577253</v>
      </c>
      <c r="AQ8" s="294">
        <v>0</v>
      </c>
      <c r="AR8" s="294">
        <v>84577253</v>
      </c>
      <c r="AS8" s="291" t="s">
        <v>764</v>
      </c>
      <c r="AT8" s="291" t="s">
        <v>640</v>
      </c>
      <c r="AU8" s="291" t="s">
        <v>765</v>
      </c>
      <c r="AV8" s="291" t="s">
        <v>640</v>
      </c>
      <c r="AW8" s="295">
        <v>44564</v>
      </c>
      <c r="AX8" s="291" t="s">
        <v>766</v>
      </c>
      <c r="AY8" s="291"/>
      <c r="AZ8" s="296">
        <v>44671</v>
      </c>
      <c r="BA8" s="291" t="s">
        <v>767</v>
      </c>
      <c r="BB8" s="291" t="s">
        <v>343</v>
      </c>
      <c r="BC8" s="297">
        <v>84577253</v>
      </c>
      <c r="BD8" s="291">
        <v>0</v>
      </c>
      <c r="BE8" s="291">
        <v>0</v>
      </c>
    </row>
    <row r="9" spans="1:61">
      <c r="A9" s="291" t="s">
        <v>768</v>
      </c>
      <c r="B9" s="291">
        <v>7673</v>
      </c>
      <c r="C9" s="292" t="s">
        <v>639</v>
      </c>
      <c r="D9" s="292" t="s">
        <v>640</v>
      </c>
      <c r="E9" s="293">
        <v>44562</v>
      </c>
      <c r="F9" s="293">
        <v>44565</v>
      </c>
      <c r="G9" s="292" t="s">
        <v>641</v>
      </c>
      <c r="H9" s="293">
        <v>44562</v>
      </c>
      <c r="I9" s="292" t="s">
        <v>769</v>
      </c>
      <c r="J9" s="292" t="s">
        <v>770</v>
      </c>
      <c r="K9" s="291" t="s">
        <v>771</v>
      </c>
      <c r="L9" s="293">
        <v>44530</v>
      </c>
      <c r="M9" s="293">
        <v>44561</v>
      </c>
      <c r="N9" s="292" t="s">
        <v>772</v>
      </c>
      <c r="O9" s="292" t="s">
        <v>646</v>
      </c>
      <c r="P9" s="292" t="s">
        <v>647</v>
      </c>
      <c r="Q9" s="291" t="s">
        <v>773</v>
      </c>
      <c r="R9" s="291" t="s">
        <v>774</v>
      </c>
      <c r="S9" s="291" t="s">
        <v>775</v>
      </c>
      <c r="T9" s="292" t="s">
        <v>651</v>
      </c>
      <c r="U9" s="292" t="s">
        <v>349</v>
      </c>
      <c r="V9" s="292" t="s">
        <v>652</v>
      </c>
      <c r="W9" s="292" t="s">
        <v>653</v>
      </c>
      <c r="X9" s="292" t="s">
        <v>741</v>
      </c>
      <c r="Y9" s="292" t="s">
        <v>742</v>
      </c>
      <c r="Z9" s="292" t="s">
        <v>680</v>
      </c>
      <c r="AA9" s="292" t="s">
        <v>681</v>
      </c>
      <c r="AB9" s="292" t="s">
        <v>776</v>
      </c>
      <c r="AC9" s="292" t="s">
        <v>777</v>
      </c>
      <c r="AD9" s="292" t="s">
        <v>778</v>
      </c>
      <c r="AE9" s="292" t="s">
        <v>683</v>
      </c>
      <c r="AF9" s="292" t="s">
        <v>779</v>
      </c>
      <c r="AG9" s="291" t="s">
        <v>780</v>
      </c>
      <c r="AH9" s="292" t="s">
        <v>726</v>
      </c>
      <c r="AI9" s="292" t="s">
        <v>727</v>
      </c>
      <c r="AJ9" s="292" t="s">
        <v>728</v>
      </c>
      <c r="AK9" s="292" t="s">
        <v>729</v>
      </c>
      <c r="AL9" s="292" t="s">
        <v>668</v>
      </c>
      <c r="AM9" s="294">
        <v>16000000</v>
      </c>
      <c r="AN9" s="294">
        <v>0</v>
      </c>
      <c r="AO9" s="294">
        <v>0</v>
      </c>
      <c r="AP9" s="294">
        <v>16000000</v>
      </c>
      <c r="AQ9" s="294">
        <v>0</v>
      </c>
      <c r="AR9" s="294">
        <v>16000000</v>
      </c>
      <c r="AS9" s="291" t="s">
        <v>781</v>
      </c>
      <c r="AT9" s="291" t="s">
        <v>640</v>
      </c>
      <c r="AU9" s="291" t="s">
        <v>782</v>
      </c>
      <c r="AV9" s="291" t="s">
        <v>640</v>
      </c>
      <c r="AW9" s="295">
        <v>44564</v>
      </c>
      <c r="AX9" s="291" t="s">
        <v>783</v>
      </c>
      <c r="AY9" s="291"/>
      <c r="AZ9" s="296">
        <v>44683</v>
      </c>
      <c r="BA9" s="291" t="s">
        <v>767</v>
      </c>
      <c r="BB9" s="291" t="s">
        <v>343</v>
      </c>
      <c r="BC9" s="297">
        <v>16000000</v>
      </c>
      <c r="BD9" s="291">
        <v>0</v>
      </c>
      <c r="BE9" s="291">
        <v>0</v>
      </c>
    </row>
    <row r="10" spans="1:61">
      <c r="A10" s="291" t="s">
        <v>784</v>
      </c>
      <c r="B10" s="291">
        <v>7673</v>
      </c>
      <c r="C10" s="292" t="s">
        <v>639</v>
      </c>
      <c r="D10" s="292" t="s">
        <v>640</v>
      </c>
      <c r="E10" s="293">
        <v>44562</v>
      </c>
      <c r="F10" s="293">
        <v>44565</v>
      </c>
      <c r="G10" s="292" t="s">
        <v>641</v>
      </c>
      <c r="H10" s="293">
        <v>44562</v>
      </c>
      <c r="I10" s="292" t="s">
        <v>785</v>
      </c>
      <c r="J10" s="292" t="s">
        <v>786</v>
      </c>
      <c r="K10" s="291" t="s">
        <v>787</v>
      </c>
      <c r="L10" s="293">
        <v>44561</v>
      </c>
      <c r="M10" s="293">
        <v>44561</v>
      </c>
      <c r="N10" s="292" t="s">
        <v>788</v>
      </c>
      <c r="O10" s="292" t="s">
        <v>646</v>
      </c>
      <c r="P10" s="292" t="s">
        <v>647</v>
      </c>
      <c r="Q10" s="291" t="s">
        <v>789</v>
      </c>
      <c r="R10" s="291" t="s">
        <v>790</v>
      </c>
      <c r="S10" s="291" t="s">
        <v>791</v>
      </c>
      <c r="T10" s="292" t="s">
        <v>651</v>
      </c>
      <c r="U10" s="292" t="s">
        <v>349</v>
      </c>
      <c r="V10" s="292" t="s">
        <v>652</v>
      </c>
      <c r="W10" s="292" t="s">
        <v>653</v>
      </c>
      <c r="X10" s="292" t="s">
        <v>654</v>
      </c>
      <c r="Y10" s="292" t="s">
        <v>655</v>
      </c>
      <c r="Z10" s="292" t="s">
        <v>680</v>
      </c>
      <c r="AA10" s="292" t="s">
        <v>681</v>
      </c>
      <c r="AB10" s="292" t="s">
        <v>658</v>
      </c>
      <c r="AC10" s="292" t="s">
        <v>659</v>
      </c>
      <c r="AD10" s="292" t="s">
        <v>792</v>
      </c>
      <c r="AE10" s="292" t="s">
        <v>661</v>
      </c>
      <c r="AF10" s="292" t="s">
        <v>793</v>
      </c>
      <c r="AG10" s="291" t="s">
        <v>794</v>
      </c>
      <c r="AH10" s="292" t="s">
        <v>726</v>
      </c>
      <c r="AI10" s="292" t="s">
        <v>727</v>
      </c>
      <c r="AJ10" s="292" t="s">
        <v>728</v>
      </c>
      <c r="AK10" s="292" t="s">
        <v>729</v>
      </c>
      <c r="AL10" s="292" t="s">
        <v>668</v>
      </c>
      <c r="AM10" s="294">
        <v>1700000</v>
      </c>
      <c r="AN10" s="294">
        <v>0</v>
      </c>
      <c r="AO10" s="294">
        <v>0</v>
      </c>
      <c r="AP10" s="294">
        <v>1700000</v>
      </c>
      <c r="AQ10" s="294">
        <v>0</v>
      </c>
      <c r="AR10" s="294">
        <v>1700000</v>
      </c>
      <c r="AS10" s="291" t="s">
        <v>795</v>
      </c>
      <c r="AT10" s="291" t="s">
        <v>640</v>
      </c>
      <c r="AU10" s="291" t="s">
        <v>796</v>
      </c>
      <c r="AV10" s="291" t="s">
        <v>640</v>
      </c>
      <c r="AW10" s="295">
        <v>44564</v>
      </c>
      <c r="AX10" s="291"/>
      <c r="AY10" s="291"/>
      <c r="AZ10" s="296"/>
      <c r="BA10" s="291"/>
      <c r="BB10" s="291" t="s">
        <v>345</v>
      </c>
      <c r="BC10" s="291">
        <v>0</v>
      </c>
      <c r="BD10" s="291">
        <v>0</v>
      </c>
      <c r="BE10" s="297">
        <v>1700000</v>
      </c>
    </row>
    <row r="11" spans="1:61">
      <c r="A11" s="291" t="s">
        <v>797</v>
      </c>
      <c r="B11" s="291">
        <v>7673</v>
      </c>
      <c r="C11" s="292" t="s">
        <v>639</v>
      </c>
      <c r="D11" s="292" t="s">
        <v>640</v>
      </c>
      <c r="E11" s="293">
        <v>44562</v>
      </c>
      <c r="F11" s="293">
        <v>44565</v>
      </c>
      <c r="G11" s="292" t="s">
        <v>641</v>
      </c>
      <c r="H11" s="293">
        <v>44562</v>
      </c>
      <c r="I11" s="292" t="s">
        <v>785</v>
      </c>
      <c r="J11" s="292" t="s">
        <v>786</v>
      </c>
      <c r="K11" s="291" t="s">
        <v>798</v>
      </c>
      <c r="L11" s="293">
        <v>44561</v>
      </c>
      <c r="M11" s="293">
        <v>44561</v>
      </c>
      <c r="N11" s="292" t="s">
        <v>788</v>
      </c>
      <c r="O11" s="292" t="s">
        <v>646</v>
      </c>
      <c r="P11" s="292" t="s">
        <v>647</v>
      </c>
      <c r="Q11" s="291" t="s">
        <v>799</v>
      </c>
      <c r="R11" s="291" t="s">
        <v>800</v>
      </c>
      <c r="S11" s="291" t="s">
        <v>801</v>
      </c>
      <c r="T11" s="292" t="s">
        <v>651</v>
      </c>
      <c r="U11" s="292" t="s">
        <v>349</v>
      </c>
      <c r="V11" s="292" t="s">
        <v>652</v>
      </c>
      <c r="W11" s="292" t="s">
        <v>653</v>
      </c>
      <c r="X11" s="292" t="s">
        <v>654</v>
      </c>
      <c r="Y11" s="292" t="s">
        <v>655</v>
      </c>
      <c r="Z11" s="292" t="s">
        <v>680</v>
      </c>
      <c r="AA11" s="292" t="s">
        <v>681</v>
      </c>
      <c r="AB11" s="292" t="s">
        <v>658</v>
      </c>
      <c r="AC11" s="292" t="s">
        <v>659</v>
      </c>
      <c r="AD11" s="292" t="s">
        <v>802</v>
      </c>
      <c r="AE11" s="292" t="s">
        <v>661</v>
      </c>
      <c r="AF11" s="292" t="s">
        <v>803</v>
      </c>
      <c r="AG11" s="291" t="s">
        <v>804</v>
      </c>
      <c r="AH11" s="292" t="s">
        <v>726</v>
      </c>
      <c r="AI11" s="292" t="s">
        <v>727</v>
      </c>
      <c r="AJ11" s="292" t="s">
        <v>728</v>
      </c>
      <c r="AK11" s="292" t="s">
        <v>729</v>
      </c>
      <c r="AL11" s="292" t="s">
        <v>668</v>
      </c>
      <c r="AM11" s="294">
        <v>2833333</v>
      </c>
      <c r="AN11" s="294">
        <v>0</v>
      </c>
      <c r="AO11" s="294">
        <v>0</v>
      </c>
      <c r="AP11" s="294">
        <v>2833333</v>
      </c>
      <c r="AQ11" s="294">
        <v>0</v>
      </c>
      <c r="AR11" s="294">
        <v>2833333</v>
      </c>
      <c r="AS11" s="291" t="s">
        <v>805</v>
      </c>
      <c r="AT11" s="291" t="s">
        <v>640</v>
      </c>
      <c r="AU11" s="291" t="s">
        <v>806</v>
      </c>
      <c r="AV11" s="291" t="s">
        <v>640</v>
      </c>
      <c r="AW11" s="295">
        <v>44564</v>
      </c>
      <c r="AX11" s="291"/>
      <c r="AY11" s="291"/>
      <c r="AZ11" s="296"/>
      <c r="BA11" s="291"/>
      <c r="BB11" s="291" t="s">
        <v>345</v>
      </c>
      <c r="BC11" s="291">
        <v>0</v>
      </c>
      <c r="BD11" s="291">
        <v>0</v>
      </c>
      <c r="BE11" s="297">
        <v>2833333</v>
      </c>
      <c r="BG11" s="408">
        <f>+BC17-'Meta 1'!O24</f>
        <v>0</v>
      </c>
    </row>
    <row r="12" spans="1:61">
      <c r="A12" s="291" t="s">
        <v>807</v>
      </c>
      <c r="B12" s="291">
        <v>7673</v>
      </c>
      <c r="C12" s="292" t="s">
        <v>639</v>
      </c>
      <c r="D12" s="292" t="s">
        <v>640</v>
      </c>
      <c r="E12" s="293">
        <v>44562</v>
      </c>
      <c r="F12" s="293">
        <v>44565</v>
      </c>
      <c r="G12" s="292" t="s">
        <v>641</v>
      </c>
      <c r="H12" s="293">
        <v>44562</v>
      </c>
      <c r="I12" s="292" t="s">
        <v>734</v>
      </c>
      <c r="J12" s="292" t="s">
        <v>735</v>
      </c>
      <c r="K12" s="291" t="s">
        <v>808</v>
      </c>
      <c r="L12" s="293">
        <v>44557</v>
      </c>
      <c r="M12" s="293">
        <v>44561</v>
      </c>
      <c r="N12" s="292" t="s">
        <v>809</v>
      </c>
      <c r="O12" s="292" t="s">
        <v>646</v>
      </c>
      <c r="P12" s="292" t="s">
        <v>647</v>
      </c>
      <c r="Q12" s="291" t="s">
        <v>810</v>
      </c>
      <c r="R12" s="291" t="s">
        <v>811</v>
      </c>
      <c r="S12" s="291" t="s">
        <v>812</v>
      </c>
      <c r="T12" s="292" t="s">
        <v>651</v>
      </c>
      <c r="U12" s="292" t="s">
        <v>349</v>
      </c>
      <c r="V12" s="292" t="s">
        <v>652</v>
      </c>
      <c r="W12" s="292" t="s">
        <v>653</v>
      </c>
      <c r="X12" s="292" t="s">
        <v>813</v>
      </c>
      <c r="Y12" s="292" t="s">
        <v>814</v>
      </c>
      <c r="Z12" s="292" t="s">
        <v>680</v>
      </c>
      <c r="AA12" s="292" t="s">
        <v>681</v>
      </c>
      <c r="AB12" s="292" t="s">
        <v>815</v>
      </c>
      <c r="AC12" s="292" t="s">
        <v>816</v>
      </c>
      <c r="AD12" s="292" t="s">
        <v>817</v>
      </c>
      <c r="AE12" s="292" t="s">
        <v>683</v>
      </c>
      <c r="AF12" s="292" t="s">
        <v>818</v>
      </c>
      <c r="AG12" s="291" t="s">
        <v>819</v>
      </c>
      <c r="AH12" s="292" t="s">
        <v>726</v>
      </c>
      <c r="AI12" s="292" t="s">
        <v>727</v>
      </c>
      <c r="AJ12" s="292" t="s">
        <v>728</v>
      </c>
      <c r="AK12" s="292" t="s">
        <v>729</v>
      </c>
      <c r="AL12" s="292" t="s">
        <v>668</v>
      </c>
      <c r="AM12" s="294">
        <v>130507157</v>
      </c>
      <c r="AN12" s="294">
        <v>0</v>
      </c>
      <c r="AO12" s="294">
        <v>0</v>
      </c>
      <c r="AP12" s="294">
        <v>130507157</v>
      </c>
      <c r="AQ12" s="294">
        <v>0</v>
      </c>
      <c r="AR12" s="294">
        <v>130507157</v>
      </c>
      <c r="AS12" s="291" t="s">
        <v>820</v>
      </c>
      <c r="AT12" s="291" t="s">
        <v>640</v>
      </c>
      <c r="AU12" s="291" t="s">
        <v>821</v>
      </c>
      <c r="AV12" s="291" t="s">
        <v>640</v>
      </c>
      <c r="AW12" s="295">
        <v>44564</v>
      </c>
      <c r="AX12" s="291" t="s">
        <v>822</v>
      </c>
      <c r="AY12" s="291"/>
      <c r="AZ12" s="296"/>
      <c r="BA12" s="291" t="s">
        <v>689</v>
      </c>
      <c r="BB12" s="291" t="s">
        <v>823</v>
      </c>
      <c r="BC12" s="297">
        <v>120066584.44000001</v>
      </c>
      <c r="BD12" s="291">
        <v>0</v>
      </c>
      <c r="BE12" s="297">
        <v>10440572.560000001</v>
      </c>
    </row>
    <row r="13" spans="1:61">
      <c r="A13" s="291" t="s">
        <v>824</v>
      </c>
      <c r="B13" s="291">
        <v>7673</v>
      </c>
      <c r="C13" s="292" t="s">
        <v>639</v>
      </c>
      <c r="D13" s="292" t="s">
        <v>640</v>
      </c>
      <c r="E13" s="293">
        <v>44562</v>
      </c>
      <c r="F13" s="293">
        <v>44565</v>
      </c>
      <c r="G13" s="292" t="s">
        <v>641</v>
      </c>
      <c r="H13" s="293">
        <v>44562</v>
      </c>
      <c r="I13" s="292" t="s">
        <v>752</v>
      </c>
      <c r="J13" s="292" t="s">
        <v>753</v>
      </c>
      <c r="K13" s="291" t="s">
        <v>825</v>
      </c>
      <c r="L13" s="293">
        <v>44554</v>
      </c>
      <c r="M13" s="293">
        <v>44561</v>
      </c>
      <c r="N13" s="292" t="s">
        <v>737</v>
      </c>
      <c r="O13" s="292" t="s">
        <v>646</v>
      </c>
      <c r="P13" s="292" t="s">
        <v>647</v>
      </c>
      <c r="Q13" s="291" t="s">
        <v>826</v>
      </c>
      <c r="R13" s="291" t="s">
        <v>827</v>
      </c>
      <c r="S13" s="291" t="s">
        <v>828</v>
      </c>
      <c r="T13" s="292" t="s">
        <v>651</v>
      </c>
      <c r="U13" s="292" t="s">
        <v>349</v>
      </c>
      <c r="V13" s="292" t="s">
        <v>652</v>
      </c>
      <c r="W13" s="292" t="s">
        <v>653</v>
      </c>
      <c r="X13" s="292" t="s">
        <v>679</v>
      </c>
      <c r="Y13" s="292" t="s">
        <v>427</v>
      </c>
      <c r="Z13" s="292" t="s">
        <v>680</v>
      </c>
      <c r="AA13" s="292" t="s">
        <v>681</v>
      </c>
      <c r="AB13" s="292" t="s">
        <v>734</v>
      </c>
      <c r="AC13" s="292" t="s">
        <v>743</v>
      </c>
      <c r="AD13" s="292" t="s">
        <v>829</v>
      </c>
      <c r="AE13" s="292" t="s">
        <v>683</v>
      </c>
      <c r="AF13" s="292" t="s">
        <v>830</v>
      </c>
      <c r="AG13" s="291" t="s">
        <v>831</v>
      </c>
      <c r="AH13" s="292" t="s">
        <v>726</v>
      </c>
      <c r="AI13" s="292" t="s">
        <v>727</v>
      </c>
      <c r="AJ13" s="292" t="s">
        <v>728</v>
      </c>
      <c r="AK13" s="292" t="s">
        <v>729</v>
      </c>
      <c r="AL13" s="292" t="s">
        <v>668</v>
      </c>
      <c r="AM13" s="294">
        <v>31500000</v>
      </c>
      <c r="AN13" s="294">
        <v>0</v>
      </c>
      <c r="AO13" s="294">
        <v>0</v>
      </c>
      <c r="AP13" s="294">
        <v>31500000</v>
      </c>
      <c r="AQ13" s="294">
        <v>0</v>
      </c>
      <c r="AR13" s="294">
        <v>31500000</v>
      </c>
      <c r="AS13" s="291" t="s">
        <v>832</v>
      </c>
      <c r="AT13" s="291" t="s">
        <v>640</v>
      </c>
      <c r="AU13" s="291" t="s">
        <v>833</v>
      </c>
      <c r="AV13" s="291" t="s">
        <v>640</v>
      </c>
      <c r="AW13" s="295">
        <v>44564</v>
      </c>
      <c r="AX13" s="291"/>
      <c r="AY13" s="291"/>
      <c r="AZ13" s="296"/>
      <c r="BA13" s="291"/>
      <c r="BB13" s="291" t="s">
        <v>343</v>
      </c>
      <c r="BC13" s="297">
        <v>31500000</v>
      </c>
      <c r="BD13" s="291">
        <v>0</v>
      </c>
      <c r="BE13" s="297">
        <v>0</v>
      </c>
    </row>
    <row r="14" spans="1:61">
      <c r="A14" s="292"/>
      <c r="B14" s="292"/>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292"/>
      <c r="AW14" s="292"/>
      <c r="AX14" s="292"/>
      <c r="AY14" s="292"/>
      <c r="AZ14" s="292"/>
      <c r="BA14" s="292"/>
      <c r="BB14" s="292"/>
      <c r="BC14" s="292"/>
      <c r="BD14" s="292"/>
      <c r="BE14" s="292"/>
    </row>
    <row r="15" spans="1:61">
      <c r="A15" s="292"/>
      <c r="B15" s="292"/>
      <c r="C15" s="292"/>
      <c r="D15" s="292"/>
      <c r="E15" s="292"/>
      <c r="F15" s="292"/>
      <c r="G15" s="292"/>
      <c r="H15" s="292"/>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c r="AO15" s="292"/>
      <c r="AP15" s="292"/>
      <c r="AQ15" s="292"/>
      <c r="AR15" s="297">
        <v>5753056358</v>
      </c>
      <c r="AS15" s="292"/>
      <c r="AT15" s="292"/>
      <c r="AU15" s="292"/>
      <c r="AV15" s="292"/>
      <c r="AW15" s="292"/>
      <c r="AX15" s="292"/>
      <c r="AY15" s="292"/>
      <c r="AZ15" s="292"/>
      <c r="BA15" s="292"/>
      <c r="BB15" s="292"/>
      <c r="BC15" s="298">
        <f>SUM(BC2:BC14)</f>
        <v>504198839.73999995</v>
      </c>
      <c r="BD15" s="298">
        <f t="shared" ref="BD15:BE15" si="0">SUM(BD2:BD14)</f>
        <v>24000003</v>
      </c>
      <c r="BE15" s="298">
        <f t="shared" si="0"/>
        <v>32869572.259999998</v>
      </c>
      <c r="BF15" s="405">
        <f>SUM(BC15:BE15)</f>
        <v>561068415</v>
      </c>
    </row>
    <row r="17" spans="53:58">
      <c r="BA17" t="s">
        <v>834</v>
      </c>
      <c r="BC17" s="298">
        <v>504198840.29999983</v>
      </c>
      <c r="BD17" s="298">
        <v>24000003</v>
      </c>
      <c r="BE17" s="298">
        <v>32869571.700000048</v>
      </c>
      <c r="BF17" s="405">
        <f>SUM(BC17:BE17)</f>
        <v>561068414.99999988</v>
      </c>
    </row>
    <row r="18" spans="53:58">
      <c r="BD18" s="298"/>
      <c r="BE18" s="298"/>
    </row>
  </sheetData>
  <printOptions horizontalCentered="1"/>
  <pageMargins left="0.19685039370078741" right="0.19685039370078741" top="0.19685039370078741" bottom="0.19685039370078741" header="0" footer="0"/>
  <pageSetup scale="19" fitToHeight="0"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1"/>
  <sheetViews>
    <sheetView topLeftCell="B6" zoomScale="90" zoomScaleNormal="90" workbookViewId="0">
      <selection activeCell="E15" sqref="E15:F15"/>
    </sheetView>
  </sheetViews>
  <sheetFormatPr baseColWidth="10" defaultColWidth="10.85546875" defaultRowHeight="15"/>
  <cols>
    <col min="1" max="1" width="48.28515625" style="126" customWidth="1"/>
    <col min="2" max="2" width="73.42578125" style="126" customWidth="1"/>
    <col min="3" max="3" width="10.85546875" style="126"/>
    <col min="4" max="4" width="31.140625" style="126" customWidth="1"/>
    <col min="5" max="5" width="70.140625" style="126" customWidth="1"/>
    <col min="6" max="6" width="17.28515625" style="126" customWidth="1"/>
    <col min="7" max="8" width="21.85546875" style="126" customWidth="1"/>
    <col min="9" max="9" width="19.28515625" style="126" customWidth="1"/>
    <col min="10" max="10" width="42" style="126" customWidth="1"/>
    <col min="11" max="16384" width="10.85546875" style="126"/>
  </cols>
  <sheetData>
    <row r="1" spans="1:2" ht="25.5" customHeight="1">
      <c r="A1" s="947" t="s">
        <v>131</v>
      </c>
      <c r="B1" s="948"/>
    </row>
    <row r="2" spans="1:2" ht="25.5" customHeight="1">
      <c r="A2" s="949" t="s">
        <v>835</v>
      </c>
      <c r="B2" s="950"/>
    </row>
    <row r="3" spans="1:2">
      <c r="A3" s="127" t="s">
        <v>836</v>
      </c>
      <c r="B3" s="127" t="s">
        <v>837</v>
      </c>
    </row>
    <row r="4" spans="1:2">
      <c r="A4" s="128" t="s">
        <v>8</v>
      </c>
      <c r="B4" s="136" t="s">
        <v>838</v>
      </c>
    </row>
    <row r="5" spans="1:2" ht="105">
      <c r="A5" s="128" t="s">
        <v>9</v>
      </c>
      <c r="B5" s="135" t="s">
        <v>839</v>
      </c>
    </row>
    <row r="6" spans="1:2">
      <c r="A6" s="128" t="s">
        <v>14</v>
      </c>
      <c r="B6" s="951" t="s">
        <v>840</v>
      </c>
    </row>
    <row r="7" spans="1:2">
      <c r="A7" s="128" t="s">
        <v>16</v>
      </c>
      <c r="B7" s="952"/>
    </row>
    <row r="8" spans="1:2">
      <c r="A8" s="128" t="s">
        <v>18</v>
      </c>
      <c r="B8" s="952"/>
    </row>
    <row r="9" spans="1:2">
      <c r="A9" s="128" t="s">
        <v>841</v>
      </c>
      <c r="B9" s="953"/>
    </row>
    <row r="10" spans="1:2" ht="30">
      <c r="A10" s="128" t="s">
        <v>7</v>
      </c>
      <c r="B10" s="129" t="s">
        <v>842</v>
      </c>
    </row>
    <row r="11" spans="1:2" ht="45">
      <c r="A11" s="128" t="s">
        <v>26</v>
      </c>
      <c r="B11" s="129" t="s">
        <v>843</v>
      </c>
    </row>
    <row r="12" spans="1:2" ht="60">
      <c r="A12" s="128" t="s">
        <v>25</v>
      </c>
      <c r="B12" s="130" t="s">
        <v>844</v>
      </c>
    </row>
    <row r="13" spans="1:2" ht="30">
      <c r="A13" s="128" t="s">
        <v>845</v>
      </c>
      <c r="B13" s="130" t="s">
        <v>846</v>
      </c>
    </row>
    <row r="14" spans="1:2" ht="45">
      <c r="A14" s="128" t="s">
        <v>847</v>
      </c>
      <c r="B14" s="130" t="s">
        <v>848</v>
      </c>
    </row>
    <row r="15" spans="1:2" ht="72" customHeight="1">
      <c r="A15" s="131" t="s">
        <v>849</v>
      </c>
      <c r="B15" s="132" t="s">
        <v>850</v>
      </c>
    </row>
    <row r="16" spans="1:2" ht="194.25">
      <c r="A16" s="131" t="s">
        <v>851</v>
      </c>
      <c r="B16" s="133" t="s">
        <v>852</v>
      </c>
    </row>
    <row r="17" spans="1:2" ht="25.5" customHeight="1">
      <c r="A17" s="949" t="s">
        <v>853</v>
      </c>
      <c r="B17" s="950"/>
    </row>
    <row r="18" spans="1:2">
      <c r="A18" s="127" t="s">
        <v>836</v>
      </c>
      <c r="B18" s="127" t="s">
        <v>837</v>
      </c>
    </row>
    <row r="19" spans="1:2">
      <c r="A19" s="128" t="s">
        <v>8</v>
      </c>
      <c r="B19" s="136" t="s">
        <v>838</v>
      </c>
    </row>
    <row r="20" spans="1:2" ht="105">
      <c r="A20" s="128" t="s">
        <v>9</v>
      </c>
      <c r="B20" s="135" t="s">
        <v>839</v>
      </c>
    </row>
    <row r="21" spans="1:2" ht="30">
      <c r="A21" s="128" t="s">
        <v>854</v>
      </c>
      <c r="B21" s="130" t="s">
        <v>855</v>
      </c>
    </row>
    <row r="22" spans="1:2" ht="45">
      <c r="A22" s="128" t="s">
        <v>856</v>
      </c>
      <c r="B22" s="130" t="s">
        <v>857</v>
      </c>
    </row>
    <row r="23" spans="1:2" ht="75">
      <c r="A23" s="128" t="s">
        <v>858</v>
      </c>
      <c r="B23" s="130" t="s">
        <v>859</v>
      </c>
    </row>
    <row r="24" spans="1:2" ht="30">
      <c r="A24" s="128" t="s">
        <v>860</v>
      </c>
      <c r="B24" s="130" t="s">
        <v>861</v>
      </c>
    </row>
    <row r="25" spans="1:2" ht="30">
      <c r="A25" s="128" t="s">
        <v>862</v>
      </c>
      <c r="B25" s="130" t="s">
        <v>863</v>
      </c>
    </row>
    <row r="26" spans="1:2" ht="45.95" customHeight="1">
      <c r="A26" s="128" t="s">
        <v>864</v>
      </c>
      <c r="B26" s="134" t="s">
        <v>865</v>
      </c>
    </row>
    <row r="27" spans="1:2" ht="75">
      <c r="A27" s="128" t="s">
        <v>144</v>
      </c>
      <c r="B27" s="134" t="s">
        <v>866</v>
      </c>
    </row>
    <row r="28" spans="1:2" ht="45">
      <c r="A28" s="128" t="s">
        <v>867</v>
      </c>
      <c r="B28" s="134" t="s">
        <v>868</v>
      </c>
    </row>
    <row r="29" spans="1:2" ht="45">
      <c r="A29" s="128" t="s">
        <v>869</v>
      </c>
      <c r="B29" s="134" t="s">
        <v>870</v>
      </c>
    </row>
    <row r="30" spans="1:2" ht="60">
      <c r="A30" s="128" t="s">
        <v>871</v>
      </c>
      <c r="B30" s="134" t="s">
        <v>872</v>
      </c>
    </row>
    <row r="31" spans="1:2" ht="144" customHeight="1">
      <c r="A31" s="128" t="s">
        <v>873</v>
      </c>
      <c r="B31" s="134" t="s">
        <v>874</v>
      </c>
    </row>
    <row r="32" spans="1:2" ht="30">
      <c r="A32" s="128" t="s">
        <v>875</v>
      </c>
      <c r="B32" s="134" t="s">
        <v>876</v>
      </c>
    </row>
    <row r="33" spans="1:2" ht="30">
      <c r="A33" s="128" t="s">
        <v>877</v>
      </c>
      <c r="B33" s="134" t="s">
        <v>878</v>
      </c>
    </row>
    <row r="34" spans="1:2" ht="30">
      <c r="A34" s="128" t="s">
        <v>879</v>
      </c>
      <c r="B34" s="134" t="s">
        <v>880</v>
      </c>
    </row>
    <row r="35" spans="1:2" ht="30">
      <c r="A35" s="128" t="s">
        <v>881</v>
      </c>
      <c r="B35" s="134" t="s">
        <v>882</v>
      </c>
    </row>
    <row r="36" spans="1:2" ht="90">
      <c r="A36" s="128" t="s">
        <v>134</v>
      </c>
      <c r="B36" s="134" t="s">
        <v>883</v>
      </c>
    </row>
    <row r="37" spans="1:2" ht="45">
      <c r="A37" s="128" t="s">
        <v>884</v>
      </c>
      <c r="B37" s="134" t="s">
        <v>885</v>
      </c>
    </row>
    <row r="38" spans="1:2" ht="42.75">
      <c r="A38" s="131" t="s">
        <v>136</v>
      </c>
      <c r="B38" s="134" t="s">
        <v>886</v>
      </c>
    </row>
    <row r="39" spans="1:2" ht="25.5" customHeight="1">
      <c r="A39" s="949" t="s">
        <v>887</v>
      </c>
      <c r="B39" s="950"/>
    </row>
    <row r="40" spans="1:2">
      <c r="A40" s="947" t="s">
        <v>888</v>
      </c>
      <c r="B40" s="948"/>
    </row>
    <row r="41" spans="1:2" ht="72" customHeight="1">
      <c r="A41" s="945" t="s">
        <v>889</v>
      </c>
      <c r="B41" s="946"/>
    </row>
  </sheetData>
  <mergeCells count="7">
    <mergeCell ref="A41:B41"/>
    <mergeCell ref="A1:B1"/>
    <mergeCell ref="A2:B2"/>
    <mergeCell ref="B6:B9"/>
    <mergeCell ref="A17:B17"/>
    <mergeCell ref="A39:B39"/>
    <mergeCell ref="A40:B4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6"/>
  <sheetViews>
    <sheetView zoomScale="91" workbookViewId="0">
      <selection activeCell="E15" sqref="E15:F15"/>
    </sheetView>
  </sheetViews>
  <sheetFormatPr baseColWidth="10" defaultColWidth="11.42578125" defaultRowHeight="15"/>
  <cols>
    <col min="1" max="1" width="44.140625" style="108" customWidth="1"/>
    <col min="2" max="2" width="61.85546875" style="108" customWidth="1"/>
    <col min="3" max="3" width="61.140625" style="108" customWidth="1"/>
    <col min="4" max="4" width="81" style="108" customWidth="1"/>
    <col min="5" max="5" width="32.85546875" style="126"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14" customFormat="1">
      <c r="A1" s="113" t="s">
        <v>890</v>
      </c>
      <c r="B1" s="113" t="s">
        <v>891</v>
      </c>
      <c r="C1" s="113" t="s">
        <v>892</v>
      </c>
      <c r="D1" s="113" t="s">
        <v>893</v>
      </c>
      <c r="E1" s="113" t="s">
        <v>871</v>
      </c>
      <c r="F1" s="113" t="s">
        <v>894</v>
      </c>
      <c r="G1" s="113" t="s">
        <v>895</v>
      </c>
      <c r="H1" s="113" t="s">
        <v>250</v>
      </c>
      <c r="I1" s="113" t="s">
        <v>862</v>
      </c>
    </row>
    <row r="2" spans="1:9" s="114" customFormat="1">
      <c r="A2" s="115" t="s">
        <v>896</v>
      </c>
      <c r="B2" s="111" t="s">
        <v>897</v>
      </c>
      <c r="C2" s="115" t="s">
        <v>898</v>
      </c>
      <c r="D2" s="116" t="s">
        <v>899</v>
      </c>
      <c r="E2" s="112" t="s">
        <v>900</v>
      </c>
      <c r="F2" s="117" t="s">
        <v>901</v>
      </c>
      <c r="G2" s="118" t="s">
        <v>902</v>
      </c>
      <c r="H2" s="118" t="s">
        <v>903</v>
      </c>
      <c r="I2" s="117" t="s">
        <v>904</v>
      </c>
    </row>
    <row r="3" spans="1:9">
      <c r="A3" s="115" t="s">
        <v>905</v>
      </c>
      <c r="B3" s="111" t="s">
        <v>906</v>
      </c>
      <c r="C3" s="115" t="s">
        <v>907</v>
      </c>
      <c r="D3" s="119" t="s">
        <v>908</v>
      </c>
      <c r="E3" s="112" t="s">
        <v>909</v>
      </c>
      <c r="F3" s="117" t="s">
        <v>910</v>
      </c>
      <c r="G3" s="118" t="s">
        <v>911</v>
      </c>
      <c r="H3" s="118" t="s">
        <v>259</v>
      </c>
      <c r="I3" s="117" t="s">
        <v>912</v>
      </c>
    </row>
    <row r="4" spans="1:9">
      <c r="A4" s="115" t="s">
        <v>352</v>
      </c>
      <c r="B4" s="111" t="s">
        <v>913</v>
      </c>
      <c r="C4" s="115" t="s">
        <v>914</v>
      </c>
      <c r="D4" s="119" t="s">
        <v>915</v>
      </c>
      <c r="E4" s="112" t="s">
        <v>916</v>
      </c>
      <c r="F4" s="117" t="s">
        <v>917</v>
      </c>
      <c r="G4" s="118" t="s">
        <v>918</v>
      </c>
      <c r="H4" s="118" t="s">
        <v>254</v>
      </c>
      <c r="I4" s="117" t="s">
        <v>919</v>
      </c>
    </row>
    <row r="5" spans="1:9">
      <c r="A5" s="115" t="s">
        <v>920</v>
      </c>
      <c r="B5" s="111" t="s">
        <v>921</v>
      </c>
      <c r="C5" s="115" t="s">
        <v>922</v>
      </c>
      <c r="D5" s="119" t="s">
        <v>923</v>
      </c>
      <c r="E5" s="112" t="s">
        <v>924</v>
      </c>
      <c r="F5" s="117" t="s">
        <v>925</v>
      </c>
      <c r="G5" s="118" t="s">
        <v>926</v>
      </c>
      <c r="H5" s="118" t="s">
        <v>255</v>
      </c>
      <c r="I5" s="117" t="s">
        <v>927</v>
      </c>
    </row>
    <row r="6" spans="1:9" ht="30">
      <c r="A6" s="115" t="s">
        <v>928</v>
      </c>
      <c r="B6" s="111" t="s">
        <v>929</v>
      </c>
      <c r="C6" s="115" t="s">
        <v>930</v>
      </c>
      <c r="D6" s="119" t="s">
        <v>931</v>
      </c>
      <c r="E6" s="112" t="s">
        <v>932</v>
      </c>
      <c r="G6" s="118" t="s">
        <v>933</v>
      </c>
      <c r="H6" s="118" t="s">
        <v>256</v>
      </c>
      <c r="I6" s="117" t="s">
        <v>934</v>
      </c>
    </row>
    <row r="7" spans="1:9" ht="30">
      <c r="B7" s="111" t="s">
        <v>935</v>
      </c>
      <c r="C7" s="115" t="s">
        <v>936</v>
      </c>
      <c r="D7" s="119" t="s">
        <v>937</v>
      </c>
      <c r="E7" s="117" t="s">
        <v>938</v>
      </c>
      <c r="G7" s="112" t="s">
        <v>265</v>
      </c>
      <c r="H7" s="118" t="s">
        <v>257</v>
      </c>
      <c r="I7" s="117" t="s">
        <v>939</v>
      </c>
    </row>
    <row r="8" spans="1:9" ht="30">
      <c r="A8" s="120"/>
      <c r="B8" s="111" t="s">
        <v>940</v>
      </c>
      <c r="C8" s="115" t="s">
        <v>941</v>
      </c>
      <c r="D8" s="119" t="s">
        <v>942</v>
      </c>
      <c r="E8" s="117" t="s">
        <v>943</v>
      </c>
      <c r="I8" s="117" t="s">
        <v>944</v>
      </c>
    </row>
    <row r="9" spans="1:9" ht="32.1" customHeight="1">
      <c r="A9" s="120"/>
      <c r="B9" s="111" t="s">
        <v>945</v>
      </c>
      <c r="C9" s="115" t="s">
        <v>946</v>
      </c>
      <c r="D9" s="119" t="s">
        <v>947</v>
      </c>
      <c r="E9" s="117" t="s">
        <v>948</v>
      </c>
      <c r="I9" s="117" t="s">
        <v>949</v>
      </c>
    </row>
    <row r="10" spans="1:9">
      <c r="A10" s="120"/>
      <c r="B10" s="111" t="s">
        <v>950</v>
      </c>
      <c r="C10" s="115" t="s">
        <v>951</v>
      </c>
      <c r="D10" s="119" t="s">
        <v>952</v>
      </c>
      <c r="E10" s="117" t="s">
        <v>953</v>
      </c>
      <c r="I10" s="117" t="s">
        <v>954</v>
      </c>
    </row>
    <row r="11" spans="1:9">
      <c r="A11" s="120"/>
      <c r="B11" s="111" t="s">
        <v>955</v>
      </c>
      <c r="C11" s="115" t="s">
        <v>956</v>
      </c>
      <c r="D11" s="119" t="s">
        <v>957</v>
      </c>
      <c r="E11" s="117" t="s">
        <v>958</v>
      </c>
      <c r="I11" s="117" t="s">
        <v>959</v>
      </c>
    </row>
    <row r="12" spans="1:9" ht="30">
      <c r="A12" s="120"/>
      <c r="B12" s="111" t="s">
        <v>960</v>
      </c>
      <c r="C12" s="115" t="s">
        <v>961</v>
      </c>
      <c r="D12" s="119" t="s">
        <v>962</v>
      </c>
      <c r="E12" s="117" t="s">
        <v>963</v>
      </c>
      <c r="I12" s="117" t="s">
        <v>964</v>
      </c>
    </row>
    <row r="13" spans="1:9">
      <c r="A13" s="120"/>
      <c r="B13" s="179" t="s">
        <v>965</v>
      </c>
      <c r="D13" s="119" t="s">
        <v>966</v>
      </c>
      <c r="E13" s="117" t="s">
        <v>967</v>
      </c>
      <c r="I13" s="117" t="s">
        <v>968</v>
      </c>
    </row>
    <row r="14" spans="1:9">
      <c r="A14" s="120"/>
      <c r="B14" s="111" t="s">
        <v>969</v>
      </c>
      <c r="C14" s="120"/>
      <c r="D14" s="119" t="s">
        <v>970</v>
      </c>
      <c r="E14" s="117" t="s">
        <v>971</v>
      </c>
    </row>
    <row r="15" spans="1:9">
      <c r="A15" s="120"/>
      <c r="B15" s="111" t="s">
        <v>972</v>
      </c>
      <c r="C15" s="120"/>
      <c r="D15" s="119" t="s">
        <v>176</v>
      </c>
      <c r="E15" s="117" t="s">
        <v>973</v>
      </c>
    </row>
    <row r="16" spans="1:9">
      <c r="A16" s="120"/>
      <c r="B16" s="111" t="s">
        <v>974</v>
      </c>
      <c r="C16" s="120"/>
      <c r="D16" s="119" t="s">
        <v>975</v>
      </c>
      <c r="E16" s="121"/>
    </row>
    <row r="17" spans="1:5">
      <c r="A17" s="120"/>
      <c r="B17" s="111" t="s">
        <v>976</v>
      </c>
      <c r="C17" s="120"/>
      <c r="D17" s="119" t="s">
        <v>977</v>
      </c>
      <c r="E17" s="121"/>
    </row>
    <row r="18" spans="1:5">
      <c r="A18" s="120"/>
      <c r="B18" s="111" t="s">
        <v>978</v>
      </c>
      <c r="C18" s="120"/>
      <c r="D18" s="119" t="s">
        <v>979</v>
      </c>
      <c r="E18" s="121"/>
    </row>
    <row r="19" spans="1:5">
      <c r="A19" s="120"/>
      <c r="B19" s="111" t="s">
        <v>980</v>
      </c>
      <c r="C19" s="120"/>
      <c r="D19" s="119" t="s">
        <v>981</v>
      </c>
      <c r="E19" s="121"/>
    </row>
    <row r="20" spans="1:5">
      <c r="A20" s="120"/>
      <c r="B20" s="111" t="s">
        <v>982</v>
      </c>
      <c r="C20" s="120"/>
      <c r="D20" s="119" t="s">
        <v>983</v>
      </c>
      <c r="E20" s="121"/>
    </row>
    <row r="21" spans="1:5">
      <c r="B21" s="111" t="s">
        <v>984</v>
      </c>
      <c r="D21" s="119" t="s">
        <v>985</v>
      </c>
      <c r="E21" s="121"/>
    </row>
    <row r="22" spans="1:5">
      <c r="B22" s="111" t="s">
        <v>986</v>
      </c>
      <c r="D22" s="119" t="s">
        <v>987</v>
      </c>
      <c r="E22" s="121"/>
    </row>
    <row r="23" spans="1:5">
      <c r="B23" s="111" t="s">
        <v>988</v>
      </c>
      <c r="D23" s="119" t="s">
        <v>989</v>
      </c>
      <c r="E23" s="121"/>
    </row>
    <row r="24" spans="1:5">
      <c r="D24" s="122" t="s">
        <v>990</v>
      </c>
      <c r="E24" s="122" t="s">
        <v>991</v>
      </c>
    </row>
    <row r="25" spans="1:5">
      <c r="D25" s="123" t="s">
        <v>992</v>
      </c>
      <c r="E25" s="117" t="s">
        <v>993</v>
      </c>
    </row>
    <row r="26" spans="1:5">
      <c r="D26" s="123" t="s">
        <v>382</v>
      </c>
      <c r="E26" s="117" t="s">
        <v>994</v>
      </c>
    </row>
    <row r="27" spans="1:5">
      <c r="D27" s="954" t="s">
        <v>995</v>
      </c>
      <c r="E27" s="117" t="s">
        <v>996</v>
      </c>
    </row>
    <row r="28" spans="1:5">
      <c r="D28" s="955"/>
      <c r="E28" s="117" t="s">
        <v>997</v>
      </c>
    </row>
    <row r="29" spans="1:5">
      <c r="D29" s="955"/>
      <c r="E29" s="117" t="s">
        <v>998</v>
      </c>
    </row>
    <row r="30" spans="1:5">
      <c r="D30" s="956"/>
      <c r="E30" s="117" t="s">
        <v>999</v>
      </c>
    </row>
    <row r="31" spans="1:5">
      <c r="D31" s="123" t="s">
        <v>1000</v>
      </c>
      <c r="E31" s="117" t="s">
        <v>1001</v>
      </c>
    </row>
    <row r="32" spans="1:5">
      <c r="D32" s="123" t="s">
        <v>1002</v>
      </c>
      <c r="E32" s="117" t="s">
        <v>1003</v>
      </c>
    </row>
    <row r="33" spans="4:5">
      <c r="D33" s="123" t="s">
        <v>1004</v>
      </c>
      <c r="E33" s="117" t="s">
        <v>1005</v>
      </c>
    </row>
    <row r="34" spans="4:5">
      <c r="D34" s="123" t="s">
        <v>1006</v>
      </c>
      <c r="E34" s="117" t="s">
        <v>1007</v>
      </c>
    </row>
    <row r="35" spans="4:5">
      <c r="D35" s="123" t="s">
        <v>1008</v>
      </c>
      <c r="E35" s="117" t="s">
        <v>1009</v>
      </c>
    </row>
    <row r="36" spans="4:5">
      <c r="D36" s="123" t="s">
        <v>1010</v>
      </c>
      <c r="E36" s="117" t="s">
        <v>1011</v>
      </c>
    </row>
    <row r="37" spans="4:5">
      <c r="D37" s="123" t="s">
        <v>1012</v>
      </c>
      <c r="E37" s="117" t="s">
        <v>1013</v>
      </c>
    </row>
    <row r="38" spans="4:5">
      <c r="D38" s="123" t="s">
        <v>1014</v>
      </c>
      <c r="E38" s="117" t="s">
        <v>1015</v>
      </c>
    </row>
    <row r="39" spans="4:5">
      <c r="D39" s="124" t="s">
        <v>1016</v>
      </c>
      <c r="E39" s="117" t="s">
        <v>1017</v>
      </c>
    </row>
    <row r="40" spans="4:5">
      <c r="D40" s="124" t="s">
        <v>1018</v>
      </c>
      <c r="E40" s="117" t="s">
        <v>1019</v>
      </c>
    </row>
    <row r="41" spans="4:5">
      <c r="D41" s="123" t="s">
        <v>1020</v>
      </c>
      <c r="E41" s="117" t="s">
        <v>1021</v>
      </c>
    </row>
    <row r="42" spans="4:5">
      <c r="D42" s="123" t="s">
        <v>1022</v>
      </c>
      <c r="E42" s="117" t="s">
        <v>1023</v>
      </c>
    </row>
    <row r="43" spans="4:5">
      <c r="D43" s="124" t="s">
        <v>1024</v>
      </c>
      <c r="E43" s="117" t="s">
        <v>1025</v>
      </c>
    </row>
    <row r="44" spans="4:5">
      <c r="D44" s="125" t="s">
        <v>1026</v>
      </c>
      <c r="E44" s="117" t="s">
        <v>1027</v>
      </c>
    </row>
    <row r="45" spans="4:5">
      <c r="D45" s="119" t="s">
        <v>1028</v>
      </c>
      <c r="E45" s="117" t="s">
        <v>1029</v>
      </c>
    </row>
    <row r="46" spans="4:5">
      <c r="D46" s="119" t="s">
        <v>1030</v>
      </c>
      <c r="E46" s="117" t="s">
        <v>1031</v>
      </c>
    </row>
    <row r="47" spans="4:5">
      <c r="D47" s="119" t="s">
        <v>1032</v>
      </c>
      <c r="E47" s="117" t="s">
        <v>1033</v>
      </c>
    </row>
    <row r="48" spans="4:5">
      <c r="D48" s="119" t="s">
        <v>1034</v>
      </c>
      <c r="E48" s="117" t="s">
        <v>1035</v>
      </c>
    </row>
    <row r="49" spans="4:4">
      <c r="D49" s="122" t="s">
        <v>1036</v>
      </c>
    </row>
    <row r="50" spans="4:4">
      <c r="D50" s="119" t="s">
        <v>1037</v>
      </c>
    </row>
    <row r="51" spans="4:4">
      <c r="D51" s="119" t="s">
        <v>1038</v>
      </c>
    </row>
    <row r="52" spans="4:4">
      <c r="D52" s="122" t="s">
        <v>1039</v>
      </c>
    </row>
    <row r="53" spans="4:4">
      <c r="D53" s="125" t="s">
        <v>1040</v>
      </c>
    </row>
    <row r="54" spans="4:4">
      <c r="D54" s="125" t="s">
        <v>1041</v>
      </c>
    </row>
    <row r="55" spans="4:4">
      <c r="D55" s="125" t="s">
        <v>1042</v>
      </c>
    </row>
    <row r="56" spans="4:4">
      <c r="D56" s="125" t="s">
        <v>1043</v>
      </c>
    </row>
  </sheetData>
  <mergeCells count="1">
    <mergeCell ref="D27:D3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62874-FB37-49E5-AEEF-36AA3EDD64A5}">
  <dimension ref="A1:I12"/>
  <sheetViews>
    <sheetView workbookViewId="0">
      <selection activeCell="E11" sqref="E11"/>
    </sheetView>
  </sheetViews>
  <sheetFormatPr baseColWidth="10" defaultRowHeight="15"/>
  <cols>
    <col min="1" max="1" width="40" bestFit="1" customWidth="1"/>
    <col min="2" max="7" width="13.140625" customWidth="1"/>
    <col min="9" max="9" width="12" bestFit="1" customWidth="1"/>
  </cols>
  <sheetData>
    <row r="1" spans="1:9" ht="15.75" thickBot="1">
      <c r="A1" s="957" t="s">
        <v>1079</v>
      </c>
      <c r="B1" s="958"/>
      <c r="C1" s="958"/>
      <c r="D1" s="958"/>
      <c r="E1" s="958"/>
      <c r="F1" s="958"/>
      <c r="G1" s="959"/>
    </row>
    <row r="2" spans="1:9" ht="15.75" thickBot="1">
      <c r="A2" s="963" t="s">
        <v>1089</v>
      </c>
      <c r="B2" s="960" t="s">
        <v>1080</v>
      </c>
      <c r="C2" s="961"/>
      <c r="D2" s="961"/>
      <c r="E2" s="961"/>
      <c r="F2" s="961"/>
      <c r="G2" s="962"/>
    </row>
    <row r="3" spans="1:9" ht="24" customHeight="1" thickBot="1">
      <c r="A3" s="964"/>
      <c r="B3" s="510" t="s">
        <v>1081</v>
      </c>
      <c r="C3" s="507" t="s">
        <v>1082</v>
      </c>
      <c r="D3" s="508" t="s">
        <v>1090</v>
      </c>
      <c r="E3" s="508" t="s">
        <v>1091</v>
      </c>
      <c r="F3" s="517" t="s">
        <v>1092</v>
      </c>
      <c r="G3" s="522" t="s">
        <v>1083</v>
      </c>
    </row>
    <row r="4" spans="1:9" ht="36">
      <c r="A4" s="514" t="s">
        <v>1084</v>
      </c>
      <c r="B4" s="511">
        <v>104570000</v>
      </c>
      <c r="C4" s="506">
        <v>2363000000</v>
      </c>
      <c r="D4" s="506">
        <v>2401870787</v>
      </c>
      <c r="E4" s="506">
        <v>2491086000</v>
      </c>
      <c r="F4" s="518">
        <v>2219930000</v>
      </c>
      <c r="G4" s="523">
        <f>SUM(B4:F4)</f>
        <v>9580456787</v>
      </c>
    </row>
    <row r="5" spans="1:9" ht="36">
      <c r="A5" s="515" t="s">
        <v>1085</v>
      </c>
      <c r="B5" s="512">
        <v>97800000</v>
      </c>
      <c r="C5" s="504">
        <v>1367984990</v>
      </c>
      <c r="D5" s="504">
        <v>1608626713</v>
      </c>
      <c r="E5" s="504">
        <v>725114000</v>
      </c>
      <c r="F5" s="519">
        <v>746870000</v>
      </c>
      <c r="G5" s="524">
        <f>SUM(B5:F5)</f>
        <v>4546395703</v>
      </c>
    </row>
    <row r="6" spans="1:9" ht="48">
      <c r="A6" s="515" t="s">
        <v>1086</v>
      </c>
      <c r="B6" s="512">
        <v>120000000</v>
      </c>
      <c r="C6" s="504">
        <v>260000010</v>
      </c>
      <c r="D6" s="504">
        <v>184761500</v>
      </c>
      <c r="E6" s="504">
        <v>700000000</v>
      </c>
      <c r="F6" s="519">
        <v>0</v>
      </c>
      <c r="G6" s="524">
        <f>SUM(B6:F6)</f>
        <v>1264761510</v>
      </c>
    </row>
    <row r="7" spans="1:9" ht="48.75" thickBot="1">
      <c r="A7" s="516" t="s">
        <v>298</v>
      </c>
      <c r="B7" s="513">
        <v>0</v>
      </c>
      <c r="C7" s="505">
        <v>0</v>
      </c>
      <c r="D7" s="505">
        <v>1230000000</v>
      </c>
      <c r="E7" s="505">
        <v>0</v>
      </c>
      <c r="F7" s="520">
        <v>0</v>
      </c>
      <c r="G7" s="525">
        <f>SUM(B7:F7)</f>
        <v>1230000000</v>
      </c>
    </row>
    <row r="8" spans="1:9" ht="15.75" thickBot="1">
      <c r="A8" s="501" t="s">
        <v>1087</v>
      </c>
      <c r="B8" s="503">
        <f t="shared" ref="B8:G8" si="0">SUM(B4:B7)</f>
        <v>322370000</v>
      </c>
      <c r="C8" s="503">
        <f t="shared" si="0"/>
        <v>3990985000</v>
      </c>
      <c r="D8" s="503">
        <f t="shared" si="0"/>
        <v>5425259000</v>
      </c>
      <c r="E8" s="503">
        <f t="shared" si="0"/>
        <v>3916200000</v>
      </c>
      <c r="F8" s="521">
        <f t="shared" si="0"/>
        <v>2966800000</v>
      </c>
      <c r="G8" s="526">
        <f t="shared" si="0"/>
        <v>16621614000</v>
      </c>
      <c r="I8" s="502" t="s">
        <v>1088</v>
      </c>
    </row>
    <row r="10" spans="1:9">
      <c r="I10">
        <v>15347355000</v>
      </c>
    </row>
    <row r="11" spans="1:9">
      <c r="I11">
        <f>+I10+1230000000</f>
        <v>16577355000</v>
      </c>
    </row>
    <row r="12" spans="1:9">
      <c r="I12" s="509">
        <f>+G8-I11</f>
        <v>44259000</v>
      </c>
    </row>
  </sheetData>
  <sortState xmlns:xlrd2="http://schemas.microsoft.com/office/spreadsheetml/2017/richdata2" ref="B5:G7">
    <sortCondition ref="B4:B7"/>
  </sortState>
  <mergeCells count="3">
    <mergeCell ref="A1:G1"/>
    <mergeCell ref="B2:G2"/>
    <mergeCell ref="A2:A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8.7109375" defaultRowHeight="15"/>
  <cols>
    <col min="1" max="256" width="11.42578125" customWidth="1"/>
  </cols>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ColWidth="8.7109375" defaultRowHeight="15"/>
  <cols>
    <col min="1" max="2" width="11.42578125" customWidth="1"/>
    <col min="3" max="3" width="6.85546875" customWidth="1"/>
    <col min="4" max="4" width="8.85546875" customWidth="1"/>
    <col min="5" max="5" width="10.85546875" customWidth="1"/>
    <col min="6" max="256" width="11.42578125" customWidth="1"/>
  </cols>
  <sheetData>
    <row r="1" spans="1:14">
      <c r="B1" t="s">
        <v>1044</v>
      </c>
      <c r="C1" s="968" t="s">
        <v>1045</v>
      </c>
      <c r="D1" s="968"/>
      <c r="E1" s="968"/>
      <c r="F1" s="968"/>
      <c r="G1" s="969" t="s">
        <v>1046</v>
      </c>
      <c r="H1" s="970"/>
      <c r="I1" s="970"/>
      <c r="J1" s="971"/>
      <c r="K1" s="967" t="s">
        <v>1047</v>
      </c>
      <c r="L1" s="967"/>
      <c r="M1" s="967"/>
      <c r="N1" s="967"/>
    </row>
    <row r="2" spans="1:14">
      <c r="C2" s="4"/>
      <c r="D2" s="4"/>
      <c r="E2" s="4"/>
      <c r="F2" s="4" t="s">
        <v>1048</v>
      </c>
      <c r="G2" s="30"/>
      <c r="H2" s="4"/>
      <c r="I2" s="4"/>
      <c r="J2" s="31" t="s">
        <v>1048</v>
      </c>
      <c r="K2" s="4"/>
      <c r="L2" s="4"/>
      <c r="M2" s="4"/>
      <c r="N2" s="4" t="s">
        <v>1048</v>
      </c>
    </row>
    <row r="3" spans="1:14">
      <c r="A3" s="966" t="s">
        <v>1049</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c r="A4" s="966"/>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c r="A5" s="966"/>
      <c r="B5" s="5">
        <v>3</v>
      </c>
      <c r="C5" s="6">
        <v>0.05</v>
      </c>
      <c r="D5" s="6">
        <v>0.05</v>
      </c>
      <c r="E5" s="6">
        <v>0.1</v>
      </c>
      <c r="F5" s="7">
        <f>(C5+D5+E5)</f>
        <v>0.2</v>
      </c>
      <c r="G5" s="32">
        <v>0.1</v>
      </c>
      <c r="H5" s="6">
        <v>0.1</v>
      </c>
      <c r="I5" s="6">
        <v>0.1</v>
      </c>
      <c r="J5" s="33">
        <f>(G5+H5+I5)</f>
        <v>0.30000000000000004</v>
      </c>
      <c r="K5" s="24"/>
      <c r="L5" s="5"/>
      <c r="M5" s="5"/>
      <c r="N5" s="5"/>
    </row>
    <row r="6" spans="1:14">
      <c r="A6" s="966"/>
      <c r="B6" s="5">
        <v>4</v>
      </c>
      <c r="C6" s="6">
        <v>0.1</v>
      </c>
      <c r="D6" s="6">
        <v>0.1</v>
      </c>
      <c r="E6" s="6">
        <v>0.2</v>
      </c>
      <c r="F6" s="7">
        <f>(C6+D6+E6)</f>
        <v>0.4</v>
      </c>
      <c r="G6" s="32">
        <v>0</v>
      </c>
      <c r="H6" s="6">
        <v>0</v>
      </c>
      <c r="I6" s="6">
        <v>0.1</v>
      </c>
      <c r="J6" s="33">
        <f>(G6+H6+I6)</f>
        <v>0.1</v>
      </c>
      <c r="K6" s="24"/>
      <c r="L6" s="5"/>
      <c r="M6" s="5"/>
      <c r="N6" s="5"/>
    </row>
    <row r="7" spans="1:14">
      <c r="A7" s="966"/>
      <c r="B7" s="5">
        <v>5</v>
      </c>
      <c r="C7" s="6">
        <v>0</v>
      </c>
      <c r="D7" s="6">
        <v>0</v>
      </c>
      <c r="E7" s="6">
        <v>0</v>
      </c>
      <c r="F7" s="7">
        <f>(C7+D7+E7)</f>
        <v>0</v>
      </c>
      <c r="G7" s="32">
        <v>0</v>
      </c>
      <c r="H7" s="6">
        <v>0</v>
      </c>
      <c r="I7" s="6">
        <v>0</v>
      </c>
      <c r="J7" s="33">
        <f>(G7+H7+I7)</f>
        <v>0</v>
      </c>
      <c r="K7" s="24"/>
      <c r="L7" s="5"/>
      <c r="M7" s="5"/>
      <c r="N7" s="5"/>
    </row>
    <row r="8" spans="1:14">
      <c r="A8" s="966" t="s">
        <v>1050</v>
      </c>
      <c r="B8" s="9">
        <v>6</v>
      </c>
      <c r="C8" s="10">
        <v>0.1</v>
      </c>
      <c r="D8" s="10">
        <v>0.1</v>
      </c>
      <c r="E8" s="10">
        <v>0.1</v>
      </c>
      <c r="F8" s="11">
        <f>C8+D8+E8</f>
        <v>0.30000000000000004</v>
      </c>
      <c r="G8" s="34"/>
      <c r="H8" s="9"/>
      <c r="I8" s="9"/>
      <c r="J8" s="35"/>
      <c r="K8" s="25"/>
      <c r="L8" s="9"/>
      <c r="M8" s="9"/>
      <c r="N8" s="9"/>
    </row>
    <row r="9" spans="1:14">
      <c r="A9" s="966"/>
      <c r="B9" s="9">
        <v>7</v>
      </c>
      <c r="C9" s="9"/>
      <c r="D9" s="9"/>
      <c r="E9" s="9"/>
      <c r="F9" s="19"/>
      <c r="G9" s="36"/>
      <c r="H9" s="9"/>
      <c r="I9" s="9"/>
      <c r="J9" s="35"/>
      <c r="K9" s="25"/>
      <c r="L9" s="9"/>
      <c r="M9" s="9"/>
      <c r="N9" s="9"/>
    </row>
    <row r="10" spans="1:14">
      <c r="A10" s="966"/>
      <c r="B10" s="9">
        <v>8</v>
      </c>
      <c r="C10" s="9"/>
      <c r="D10" s="9"/>
      <c r="E10" s="9"/>
      <c r="F10" s="19"/>
      <c r="G10" s="36"/>
      <c r="H10" s="9"/>
      <c r="I10" s="9"/>
      <c r="J10" s="35"/>
      <c r="K10" s="25"/>
      <c r="L10" s="9"/>
      <c r="M10" s="9"/>
      <c r="N10" s="9"/>
    </row>
    <row r="11" spans="1:14">
      <c r="A11" s="966"/>
      <c r="B11" s="9">
        <v>9</v>
      </c>
      <c r="C11" s="9"/>
      <c r="D11" s="9"/>
      <c r="E11" s="9"/>
      <c r="F11" s="19"/>
      <c r="G11" s="36"/>
      <c r="H11" s="9"/>
      <c r="I11" s="9"/>
      <c r="J11" s="35"/>
      <c r="K11" s="25"/>
      <c r="L11" s="9"/>
      <c r="M11" s="9"/>
      <c r="N11" s="9"/>
    </row>
    <row r="12" spans="1:14">
      <c r="A12" s="966" t="s">
        <v>1051</v>
      </c>
      <c r="B12" s="14">
        <v>10</v>
      </c>
      <c r="C12" s="14"/>
      <c r="D12" s="14"/>
      <c r="E12" s="14"/>
      <c r="F12" s="20"/>
      <c r="G12" s="37"/>
      <c r="H12" s="14"/>
      <c r="I12" s="14"/>
      <c r="J12" s="38"/>
      <c r="K12" s="26"/>
      <c r="L12" s="14"/>
      <c r="M12" s="14"/>
      <c r="N12" s="14"/>
    </row>
    <row r="13" spans="1:14">
      <c r="A13" s="966"/>
      <c r="B13" s="14">
        <v>11</v>
      </c>
      <c r="C13" s="14"/>
      <c r="D13" s="14"/>
      <c r="E13" s="14"/>
      <c r="F13" s="20"/>
      <c r="G13" s="37"/>
      <c r="H13" s="14"/>
      <c r="I13" s="14"/>
      <c r="J13" s="38"/>
      <c r="K13" s="26"/>
      <c r="L13" s="14"/>
      <c r="M13" s="14"/>
      <c r="N13" s="14"/>
    </row>
    <row r="14" spans="1:14">
      <c r="A14" s="966"/>
      <c r="B14" s="14">
        <v>12</v>
      </c>
      <c r="C14" s="14"/>
      <c r="D14" s="14"/>
      <c r="E14" s="14"/>
      <c r="F14" s="20"/>
      <c r="G14" s="37"/>
      <c r="H14" s="14"/>
      <c r="I14" s="14"/>
      <c r="J14" s="38"/>
      <c r="K14" s="26"/>
      <c r="L14" s="14"/>
      <c r="M14" s="14"/>
      <c r="N14" s="14"/>
    </row>
    <row r="15" spans="1:14">
      <c r="A15" s="966"/>
      <c r="B15" s="14">
        <v>13</v>
      </c>
      <c r="C15" s="14"/>
      <c r="D15" s="14"/>
      <c r="E15" s="14"/>
      <c r="F15" s="20"/>
      <c r="G15" s="37"/>
      <c r="H15" s="14"/>
      <c r="I15" s="14"/>
      <c r="J15" s="38"/>
      <c r="K15" s="26"/>
      <c r="L15" s="14"/>
      <c r="M15" s="14"/>
      <c r="N15" s="14"/>
    </row>
    <row r="16" spans="1:14">
      <c r="A16" s="966" t="s">
        <v>1052</v>
      </c>
      <c r="B16" s="15">
        <v>14</v>
      </c>
      <c r="C16" s="15"/>
      <c r="D16" s="15"/>
      <c r="E16" s="15"/>
      <c r="F16" s="21"/>
      <c r="G16" s="39"/>
      <c r="H16" s="15"/>
      <c r="I16" s="15"/>
      <c r="J16" s="40"/>
      <c r="K16" s="27"/>
      <c r="L16" s="15"/>
      <c r="M16" s="15"/>
      <c r="N16" s="15"/>
    </row>
    <row r="17" spans="1:14">
      <c r="A17" s="966"/>
      <c r="B17" s="15">
        <v>15</v>
      </c>
      <c r="C17" s="15"/>
      <c r="D17" s="15"/>
      <c r="E17" s="15"/>
      <c r="F17" s="21"/>
      <c r="G17" s="39"/>
      <c r="H17" s="15"/>
      <c r="I17" s="15"/>
      <c r="J17" s="40"/>
      <c r="K17" s="27"/>
      <c r="L17" s="15"/>
      <c r="M17" s="15"/>
      <c r="N17" s="15"/>
    </row>
    <row r="18" spans="1:14">
      <c r="A18" s="966"/>
      <c r="B18" s="15">
        <v>16</v>
      </c>
      <c r="C18" s="15"/>
      <c r="D18" s="15"/>
      <c r="E18" s="15"/>
      <c r="F18" s="21"/>
      <c r="G18" s="39"/>
      <c r="H18" s="15"/>
      <c r="I18" s="15"/>
      <c r="J18" s="40"/>
      <c r="K18" s="27"/>
      <c r="L18" s="15"/>
      <c r="M18" s="15"/>
      <c r="N18" s="15"/>
    </row>
    <row r="19" spans="1:14">
      <c r="A19" s="966" t="s">
        <v>1053</v>
      </c>
      <c r="B19" s="18">
        <v>17</v>
      </c>
      <c r="C19" s="18"/>
      <c r="D19" s="18"/>
      <c r="E19" s="18"/>
      <c r="F19" s="22"/>
      <c r="G19" s="41"/>
      <c r="H19" s="18"/>
      <c r="I19" s="18"/>
      <c r="J19" s="42"/>
      <c r="K19" s="28"/>
      <c r="L19" s="18"/>
      <c r="M19" s="18"/>
      <c r="N19" s="18"/>
    </row>
    <row r="20" spans="1:14">
      <c r="A20" s="966"/>
      <c r="B20" s="18">
        <v>18</v>
      </c>
      <c r="C20" s="18"/>
      <c r="D20" s="18"/>
      <c r="E20" s="18"/>
      <c r="F20" s="22"/>
      <c r="G20" s="41"/>
      <c r="H20" s="18"/>
      <c r="I20" s="18"/>
      <c r="J20" s="42"/>
      <c r="K20" s="28"/>
      <c r="L20" s="18"/>
      <c r="M20" s="18"/>
      <c r="N20" s="18"/>
    </row>
    <row r="21" spans="1:14">
      <c r="A21" s="966"/>
      <c r="B21" s="18">
        <v>19</v>
      </c>
      <c r="C21" s="18"/>
      <c r="D21" s="18"/>
      <c r="E21" s="18"/>
      <c r="F21" s="22"/>
      <c r="G21" s="41"/>
      <c r="H21" s="18"/>
      <c r="I21" s="18"/>
      <c r="J21" s="42"/>
      <c r="K21" s="28"/>
      <c r="L21" s="18"/>
      <c r="M21" s="18"/>
      <c r="N21" s="18"/>
    </row>
    <row r="22" spans="1:14">
      <c r="A22" s="966"/>
      <c r="B22" s="18">
        <v>20</v>
      </c>
      <c r="C22" s="18"/>
      <c r="D22" s="18"/>
      <c r="E22" s="18"/>
      <c r="F22" s="22"/>
      <c r="G22" s="41"/>
      <c r="H22" s="18"/>
      <c r="I22" s="18"/>
      <c r="J22" s="42"/>
      <c r="K22" s="28"/>
      <c r="L22" s="18"/>
      <c r="M22" s="18"/>
      <c r="N22" s="18"/>
    </row>
    <row r="23" spans="1:14">
      <c r="A23" s="966" t="s">
        <v>1054</v>
      </c>
      <c r="B23" s="13">
        <v>21</v>
      </c>
      <c r="C23" s="13"/>
      <c r="D23" s="13"/>
      <c r="E23" s="13"/>
      <c r="F23" s="23"/>
      <c r="G23" s="43"/>
      <c r="H23" s="13"/>
      <c r="I23" s="13"/>
      <c r="J23" s="44"/>
      <c r="K23" s="29"/>
      <c r="L23" s="13"/>
      <c r="M23" s="13"/>
      <c r="N23" s="13"/>
    </row>
    <row r="24" spans="1:14">
      <c r="A24" s="966"/>
      <c r="B24" s="13">
        <v>22</v>
      </c>
      <c r="C24" s="13"/>
      <c r="D24" s="13"/>
      <c r="E24" s="13"/>
      <c r="F24" s="23"/>
      <c r="G24" s="43"/>
      <c r="H24" s="13"/>
      <c r="I24" s="13"/>
      <c r="J24" s="44"/>
      <c r="K24" s="29"/>
      <c r="L24" s="13"/>
      <c r="M24" s="13"/>
      <c r="N24" s="13"/>
    </row>
    <row r="25" spans="1:14">
      <c r="A25" s="966"/>
      <c r="B25" s="13">
        <v>23</v>
      </c>
      <c r="C25" s="13"/>
      <c r="D25" s="13"/>
      <c r="E25" s="13"/>
      <c r="F25" s="23"/>
      <c r="G25" s="43"/>
      <c r="H25" s="13"/>
      <c r="I25" s="13"/>
      <c r="J25" s="44"/>
      <c r="K25" s="29"/>
      <c r="L25" s="13"/>
      <c r="M25" s="13"/>
      <c r="N25" s="13"/>
    </row>
    <row r="26" spans="1:14">
      <c r="A26" s="966"/>
      <c r="B26" s="13">
        <v>24</v>
      </c>
      <c r="C26" s="13"/>
      <c r="D26" s="13"/>
      <c r="E26" s="13"/>
      <c r="F26" s="23"/>
      <c r="G26" s="43"/>
      <c r="H26" s="13"/>
      <c r="I26" s="13"/>
      <c r="J26" s="44"/>
      <c r="K26" s="29"/>
      <c r="L26" s="13"/>
      <c r="M26" s="13"/>
      <c r="N26" s="13"/>
    </row>
    <row r="27" spans="1:14">
      <c r="A27" s="966" t="s">
        <v>1055</v>
      </c>
      <c r="B27" s="9">
        <v>25</v>
      </c>
      <c r="C27" s="9"/>
      <c r="D27" s="9"/>
      <c r="E27" s="9"/>
      <c r="F27" s="9"/>
      <c r="G27" s="9"/>
      <c r="H27" s="9"/>
      <c r="I27" s="9"/>
      <c r="J27" s="9"/>
      <c r="K27" s="9"/>
      <c r="L27" s="9"/>
      <c r="M27" s="9"/>
      <c r="N27" s="9"/>
    </row>
    <row r="28" spans="1:14">
      <c r="A28" s="966"/>
      <c r="B28" s="9">
        <v>26</v>
      </c>
      <c r="C28" s="9"/>
      <c r="D28" s="9"/>
      <c r="E28" s="9"/>
      <c r="F28" s="9"/>
      <c r="G28" s="9"/>
      <c r="H28" s="9"/>
      <c r="I28" s="9"/>
      <c r="J28" s="9"/>
      <c r="K28" s="9"/>
      <c r="L28" s="9"/>
      <c r="M28" s="9"/>
      <c r="N28" s="9"/>
    </row>
    <row r="29" spans="1:14">
      <c r="A29" s="966"/>
      <c r="B29" s="9">
        <v>27</v>
      </c>
      <c r="C29" s="9"/>
      <c r="D29" s="9"/>
      <c r="E29" s="9"/>
      <c r="F29" s="9"/>
      <c r="G29" s="9"/>
      <c r="H29" s="9"/>
      <c r="I29" s="9"/>
      <c r="J29" s="9"/>
      <c r="K29" s="9"/>
      <c r="L29" s="9"/>
      <c r="M29" s="9"/>
      <c r="N29" s="9"/>
    </row>
    <row r="30" spans="1:14">
      <c r="A30" s="966"/>
      <c r="B30" s="9">
        <v>28</v>
      </c>
      <c r="C30" s="9"/>
      <c r="D30" s="9"/>
      <c r="E30" s="9"/>
      <c r="F30" s="9"/>
      <c r="G30" s="9"/>
      <c r="H30" s="9"/>
      <c r="I30" s="9"/>
      <c r="J30" s="9"/>
      <c r="K30" s="9"/>
      <c r="L30" s="9"/>
      <c r="M30" s="9"/>
      <c r="N30" s="9"/>
    </row>
    <row r="31" spans="1:14">
      <c r="A31" s="966"/>
      <c r="B31" s="9">
        <v>29</v>
      </c>
      <c r="C31" s="9"/>
      <c r="D31" s="9"/>
      <c r="E31" s="9"/>
      <c r="F31" s="9"/>
      <c r="G31" s="9"/>
      <c r="H31" s="9"/>
      <c r="I31" s="9"/>
      <c r="J31" s="9"/>
      <c r="K31" s="9"/>
      <c r="L31" s="9"/>
      <c r="M31" s="9"/>
      <c r="N31" s="9"/>
    </row>
    <row r="32" spans="1:14">
      <c r="A32" s="966" t="s">
        <v>1056</v>
      </c>
      <c r="B32" s="16">
        <v>30</v>
      </c>
      <c r="C32" s="16"/>
      <c r="D32" s="16"/>
      <c r="E32" s="16"/>
      <c r="F32" s="16"/>
      <c r="G32" s="16"/>
      <c r="H32" s="16"/>
      <c r="I32" s="16"/>
      <c r="J32" s="16"/>
      <c r="K32" s="16"/>
      <c r="L32" s="16"/>
      <c r="M32" s="16"/>
      <c r="N32" s="16"/>
    </row>
    <row r="33" spans="1:14">
      <c r="A33" s="966"/>
      <c r="B33" s="16">
        <v>31</v>
      </c>
      <c r="C33" s="16"/>
      <c r="D33" s="16"/>
      <c r="E33" s="16"/>
      <c r="F33" s="16"/>
      <c r="G33" s="16"/>
      <c r="H33" s="16"/>
      <c r="I33" s="16"/>
      <c r="J33" s="16"/>
      <c r="K33" s="16"/>
      <c r="L33" s="16"/>
      <c r="M33" s="16"/>
      <c r="N33" s="16"/>
    </row>
    <row r="34" spans="1:14">
      <c r="A34" s="966"/>
      <c r="B34" s="16">
        <v>32</v>
      </c>
      <c r="C34" s="16"/>
      <c r="D34" s="16"/>
      <c r="E34" s="16"/>
      <c r="F34" s="16"/>
      <c r="G34" s="16"/>
      <c r="H34" s="16"/>
      <c r="I34" s="16"/>
      <c r="J34" s="16"/>
      <c r="K34" s="16"/>
      <c r="L34" s="16"/>
      <c r="M34" s="16"/>
      <c r="N34" s="16"/>
    </row>
    <row r="35" spans="1:14">
      <c r="A35" s="966" t="s">
        <v>1057</v>
      </c>
      <c r="B35" s="17">
        <v>33</v>
      </c>
      <c r="C35" s="14"/>
      <c r="D35" s="14"/>
      <c r="E35" s="14"/>
      <c r="F35" s="14"/>
      <c r="G35" s="14"/>
      <c r="H35" s="14"/>
      <c r="I35" s="14"/>
      <c r="J35" s="14"/>
      <c r="K35" s="14"/>
      <c r="L35" s="14"/>
      <c r="M35" s="14"/>
      <c r="N35" s="14"/>
    </row>
    <row r="36" spans="1:14">
      <c r="A36" s="966"/>
      <c r="B36" s="14">
        <v>34</v>
      </c>
      <c r="C36" s="14"/>
      <c r="D36" s="14"/>
      <c r="E36" s="14"/>
      <c r="F36" s="14"/>
      <c r="G36" s="14"/>
      <c r="H36" s="14"/>
      <c r="I36" s="14"/>
      <c r="J36" s="14"/>
      <c r="K36" s="14"/>
      <c r="L36" s="14"/>
      <c r="M36" s="14"/>
      <c r="N36" s="14"/>
    </row>
    <row r="37" spans="1:14">
      <c r="A37" s="966"/>
      <c r="B37" s="45">
        <v>35</v>
      </c>
      <c r="C37" s="14"/>
      <c r="D37" s="14"/>
      <c r="E37" s="14"/>
      <c r="F37" s="14"/>
      <c r="G37" s="14"/>
      <c r="H37" s="14"/>
      <c r="I37" s="14"/>
      <c r="J37" s="14"/>
      <c r="K37" s="14"/>
      <c r="L37" s="14"/>
      <c r="M37" s="14"/>
      <c r="N37" s="14"/>
    </row>
    <row r="38" spans="1:14">
      <c r="A38" s="966" t="s">
        <v>1058</v>
      </c>
      <c r="B38" s="8">
        <v>36</v>
      </c>
      <c r="C38" s="8"/>
      <c r="D38" s="8"/>
      <c r="E38" s="8"/>
      <c r="F38" s="8"/>
      <c r="G38" s="8"/>
      <c r="H38" s="8"/>
      <c r="I38" s="8"/>
      <c r="J38" s="8"/>
      <c r="K38" s="8"/>
      <c r="L38" s="8"/>
      <c r="M38" s="8"/>
      <c r="N38" s="8"/>
    </row>
    <row r="39" spans="1:14">
      <c r="A39" s="966"/>
      <c r="B39" s="8">
        <v>37</v>
      </c>
      <c r="C39" s="8"/>
      <c r="D39" s="8"/>
      <c r="E39" s="8"/>
      <c r="F39" s="8"/>
      <c r="G39" s="8"/>
      <c r="H39" s="8"/>
      <c r="I39" s="8"/>
      <c r="J39" s="8"/>
      <c r="K39" s="8"/>
      <c r="L39" s="8"/>
      <c r="M39" s="8"/>
      <c r="N39" s="8"/>
    </row>
    <row r="40" spans="1:14">
      <c r="A40" s="966"/>
      <c r="B40" s="8">
        <v>38</v>
      </c>
      <c r="C40" s="8"/>
      <c r="D40" s="8"/>
      <c r="E40" s="8"/>
      <c r="F40" s="8"/>
      <c r="G40" s="8"/>
      <c r="H40" s="8"/>
      <c r="I40" s="8"/>
      <c r="J40" s="8"/>
      <c r="K40" s="8"/>
      <c r="L40" s="8"/>
      <c r="M40" s="8"/>
      <c r="N40" s="8"/>
    </row>
    <row r="41" spans="1:14">
      <c r="A41" s="972" t="s">
        <v>1059</v>
      </c>
      <c r="B41" s="46">
        <v>39</v>
      </c>
      <c r="C41" s="47"/>
      <c r="D41" s="47"/>
      <c r="E41" s="47"/>
      <c r="F41" s="47"/>
      <c r="G41" s="47"/>
      <c r="H41" s="47"/>
      <c r="I41" s="47"/>
      <c r="J41" s="47"/>
      <c r="K41" s="47"/>
      <c r="L41" s="47"/>
      <c r="M41" s="47"/>
      <c r="N41" s="47"/>
    </row>
    <row r="42" spans="1:14">
      <c r="A42" s="972"/>
      <c r="B42" s="47">
        <v>40</v>
      </c>
      <c r="C42" s="47"/>
      <c r="D42" s="47"/>
      <c r="E42" s="47"/>
      <c r="F42" s="47"/>
      <c r="G42" s="47"/>
      <c r="H42" s="47"/>
      <c r="I42" s="47"/>
      <c r="J42" s="47"/>
      <c r="K42" s="47"/>
      <c r="L42" s="47"/>
      <c r="M42" s="47"/>
      <c r="N42" s="47"/>
    </row>
    <row r="43" spans="1:14">
      <c r="A43" s="972"/>
      <c r="B43" s="47">
        <v>41</v>
      </c>
      <c r="C43" s="47"/>
      <c r="D43" s="47"/>
      <c r="E43" s="47"/>
      <c r="F43" s="47"/>
      <c r="G43" s="47"/>
      <c r="H43" s="47"/>
      <c r="I43" s="47"/>
      <c r="J43" s="47"/>
      <c r="K43" s="47"/>
      <c r="L43" s="47"/>
      <c r="M43" s="47"/>
      <c r="N43" s="47"/>
    </row>
    <row r="44" spans="1:14">
      <c r="A44" s="972"/>
      <c r="B44" s="48">
        <v>42</v>
      </c>
      <c r="C44" s="47"/>
      <c r="D44" s="47"/>
      <c r="E44" s="47"/>
      <c r="F44" s="47"/>
      <c r="G44" s="47"/>
      <c r="H44" s="47"/>
      <c r="I44" s="47"/>
      <c r="J44" s="47"/>
      <c r="K44" s="47"/>
      <c r="L44" s="47"/>
      <c r="M44" s="47"/>
      <c r="N44" s="47"/>
    </row>
    <row r="45" spans="1:14">
      <c r="A45" s="965" t="s">
        <v>1060</v>
      </c>
      <c r="B45" s="12">
        <v>43</v>
      </c>
      <c r="C45" s="12"/>
      <c r="D45" s="12"/>
      <c r="E45" s="12"/>
      <c r="F45" s="12"/>
      <c r="G45" s="12"/>
      <c r="H45" s="12"/>
      <c r="I45" s="12"/>
      <c r="J45" s="12"/>
      <c r="K45" s="12"/>
      <c r="L45" s="12"/>
      <c r="M45" s="12"/>
      <c r="N45" s="12"/>
    </row>
    <row r="46" spans="1:14">
      <c r="A46" s="965"/>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40"/>
  <sheetViews>
    <sheetView showGridLines="0" tabSelected="1" view="pageBreakPreview" topLeftCell="P14" zoomScale="60" zoomScaleNormal="75" workbookViewId="0">
      <selection activeCell="AE25" sqref="AE25"/>
    </sheetView>
  </sheetViews>
  <sheetFormatPr baseColWidth="10" defaultColWidth="10.85546875" defaultRowHeight="15"/>
  <cols>
    <col min="1" max="1" width="38.42578125" style="50" customWidth="1"/>
    <col min="2" max="2" width="15.42578125" style="50" customWidth="1"/>
    <col min="3" max="30" width="14.85546875" style="50" customWidth="1"/>
    <col min="31" max="31" width="12"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c r="A1" s="638"/>
      <c r="B1" s="641" t="s">
        <v>0</v>
      </c>
      <c r="C1" s="642"/>
      <c r="D1" s="642"/>
      <c r="E1" s="642"/>
      <c r="F1" s="642"/>
      <c r="G1" s="642"/>
      <c r="H1" s="642"/>
      <c r="I1" s="642"/>
      <c r="J1" s="642"/>
      <c r="K1" s="642"/>
      <c r="L1" s="642"/>
      <c r="M1" s="642"/>
      <c r="N1" s="642"/>
      <c r="O1" s="642"/>
      <c r="P1" s="642"/>
      <c r="Q1" s="642"/>
      <c r="R1" s="642"/>
      <c r="S1" s="642"/>
      <c r="T1" s="642"/>
      <c r="U1" s="642"/>
      <c r="V1" s="642"/>
      <c r="W1" s="642"/>
      <c r="X1" s="642"/>
      <c r="Y1" s="642"/>
      <c r="Z1" s="642"/>
      <c r="AA1" s="643"/>
      <c r="AB1" s="659" t="s">
        <v>1</v>
      </c>
      <c r="AC1" s="660"/>
      <c r="AD1" s="661"/>
    </row>
    <row r="2" spans="1:30" ht="30.75" customHeight="1">
      <c r="A2" s="639"/>
      <c r="B2" s="647" t="s">
        <v>2</v>
      </c>
      <c r="C2" s="648"/>
      <c r="D2" s="648"/>
      <c r="E2" s="648"/>
      <c r="F2" s="648"/>
      <c r="G2" s="648"/>
      <c r="H2" s="648"/>
      <c r="I2" s="648"/>
      <c r="J2" s="648"/>
      <c r="K2" s="648"/>
      <c r="L2" s="648"/>
      <c r="M2" s="648"/>
      <c r="N2" s="648"/>
      <c r="O2" s="648"/>
      <c r="P2" s="648"/>
      <c r="Q2" s="648"/>
      <c r="R2" s="648"/>
      <c r="S2" s="648"/>
      <c r="T2" s="648"/>
      <c r="U2" s="648"/>
      <c r="V2" s="648"/>
      <c r="W2" s="648"/>
      <c r="X2" s="648"/>
      <c r="Y2" s="648"/>
      <c r="Z2" s="648"/>
      <c r="AA2" s="649"/>
      <c r="AB2" s="662" t="s">
        <v>3</v>
      </c>
      <c r="AC2" s="663"/>
      <c r="AD2" s="664"/>
    </row>
    <row r="3" spans="1:30" ht="33" customHeight="1">
      <c r="A3" s="639"/>
      <c r="B3" s="618" t="s">
        <v>4</v>
      </c>
      <c r="C3" s="619"/>
      <c r="D3" s="619"/>
      <c r="E3" s="619"/>
      <c r="F3" s="619"/>
      <c r="G3" s="619"/>
      <c r="H3" s="619"/>
      <c r="I3" s="619"/>
      <c r="J3" s="619"/>
      <c r="K3" s="619"/>
      <c r="L3" s="619"/>
      <c r="M3" s="619"/>
      <c r="N3" s="619"/>
      <c r="O3" s="619"/>
      <c r="P3" s="619"/>
      <c r="Q3" s="619"/>
      <c r="R3" s="619"/>
      <c r="S3" s="619"/>
      <c r="T3" s="619"/>
      <c r="U3" s="619"/>
      <c r="V3" s="619"/>
      <c r="W3" s="619"/>
      <c r="X3" s="619"/>
      <c r="Y3" s="619"/>
      <c r="Z3" s="619"/>
      <c r="AA3" s="620"/>
      <c r="AB3" s="662" t="s">
        <v>5</v>
      </c>
      <c r="AC3" s="663"/>
      <c r="AD3" s="664"/>
    </row>
    <row r="4" spans="1:30" ht="21.95" customHeight="1" thickBot="1">
      <c r="A4" s="640"/>
      <c r="B4" s="621"/>
      <c r="C4" s="622"/>
      <c r="D4" s="622"/>
      <c r="E4" s="622"/>
      <c r="F4" s="622"/>
      <c r="G4" s="622"/>
      <c r="H4" s="622"/>
      <c r="I4" s="622"/>
      <c r="J4" s="622"/>
      <c r="K4" s="622"/>
      <c r="L4" s="622"/>
      <c r="M4" s="622"/>
      <c r="N4" s="622"/>
      <c r="O4" s="622"/>
      <c r="P4" s="622"/>
      <c r="Q4" s="622"/>
      <c r="R4" s="622"/>
      <c r="S4" s="622"/>
      <c r="T4" s="622"/>
      <c r="U4" s="622"/>
      <c r="V4" s="622"/>
      <c r="W4" s="622"/>
      <c r="X4" s="622"/>
      <c r="Y4" s="622"/>
      <c r="Z4" s="622"/>
      <c r="AA4" s="623"/>
      <c r="AB4" s="656" t="s">
        <v>6</v>
      </c>
      <c r="AC4" s="657"/>
      <c r="AD4" s="658"/>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c r="A7" s="609" t="s">
        <v>7</v>
      </c>
      <c r="B7" s="610"/>
      <c r="C7" s="624"/>
      <c r="D7" s="609" t="s">
        <v>8</v>
      </c>
      <c r="E7" s="627"/>
      <c r="F7" s="627"/>
      <c r="G7" s="627"/>
      <c r="H7" s="610"/>
      <c r="I7" s="630">
        <v>44595</v>
      </c>
      <c r="J7" s="631"/>
      <c r="K7" s="609" t="s">
        <v>9</v>
      </c>
      <c r="L7" s="610"/>
      <c r="M7" s="636" t="s">
        <v>10</v>
      </c>
      <c r="N7" s="637"/>
      <c r="O7" s="599" t="s">
        <v>11</v>
      </c>
      <c r="P7" s="600"/>
      <c r="Q7" s="54"/>
      <c r="R7" s="54"/>
      <c r="S7" s="54"/>
      <c r="T7" s="54"/>
      <c r="U7" s="54"/>
      <c r="V7" s="54"/>
      <c r="W7" s="54"/>
      <c r="X7" s="54"/>
      <c r="Y7" s="54"/>
      <c r="Z7" s="55"/>
      <c r="AA7" s="54"/>
      <c r="AB7" s="54"/>
      <c r="AC7" s="60"/>
      <c r="AD7" s="61"/>
    </row>
    <row r="8" spans="1:30">
      <c r="A8" s="611"/>
      <c r="B8" s="612"/>
      <c r="C8" s="625"/>
      <c r="D8" s="611"/>
      <c r="E8" s="628"/>
      <c r="F8" s="628"/>
      <c r="G8" s="628"/>
      <c r="H8" s="612"/>
      <c r="I8" s="632"/>
      <c r="J8" s="633"/>
      <c r="K8" s="611"/>
      <c r="L8" s="612"/>
      <c r="M8" s="601" t="s">
        <v>12</v>
      </c>
      <c r="N8" s="602"/>
      <c r="O8" s="603"/>
      <c r="P8" s="604"/>
      <c r="Q8" s="54"/>
      <c r="R8" s="54"/>
      <c r="S8" s="54"/>
      <c r="T8" s="54"/>
      <c r="U8" s="54"/>
      <c r="V8" s="54"/>
      <c r="W8" s="54"/>
      <c r="X8" s="54"/>
      <c r="Y8" s="54"/>
      <c r="Z8" s="55"/>
      <c r="AA8" s="54"/>
      <c r="AB8" s="54"/>
      <c r="AC8" s="60"/>
      <c r="AD8" s="61"/>
    </row>
    <row r="9" spans="1:30" ht="15.75" thickBot="1">
      <c r="A9" s="613"/>
      <c r="B9" s="614"/>
      <c r="C9" s="626"/>
      <c r="D9" s="613"/>
      <c r="E9" s="629"/>
      <c r="F9" s="629"/>
      <c r="G9" s="629"/>
      <c r="H9" s="614"/>
      <c r="I9" s="634"/>
      <c r="J9" s="635"/>
      <c r="K9" s="613"/>
      <c r="L9" s="614"/>
      <c r="M9" s="605" t="s">
        <v>13</v>
      </c>
      <c r="N9" s="606"/>
      <c r="O9" s="665" t="s">
        <v>11</v>
      </c>
      <c r="P9" s="666"/>
      <c r="Q9" s="54"/>
      <c r="R9" s="54"/>
      <c r="S9" s="54"/>
      <c r="T9" s="54"/>
      <c r="U9" s="54"/>
      <c r="V9" s="54"/>
      <c r="W9" s="54"/>
      <c r="X9" s="54"/>
      <c r="Y9" s="54"/>
      <c r="Z9" s="55"/>
      <c r="AA9" s="54"/>
      <c r="AB9" s="54"/>
      <c r="AC9" s="60"/>
      <c r="AD9" s="61"/>
    </row>
    <row r="10" spans="1:30" ht="15" customHeight="1" thickBot="1">
      <c r="A10" s="161"/>
      <c r="B10" s="454"/>
      <c r="C10" s="454"/>
      <c r="D10" s="65"/>
      <c r="E10" s="65"/>
      <c r="F10" s="65"/>
      <c r="G10" s="65"/>
      <c r="H10" s="65"/>
      <c r="I10" s="455"/>
      <c r="J10" s="455"/>
      <c r="K10" s="65"/>
      <c r="L10" s="65"/>
      <c r="M10" s="159"/>
      <c r="N10" s="159"/>
      <c r="O10" s="160"/>
      <c r="P10" s="160"/>
      <c r="Q10" s="454"/>
      <c r="R10" s="454"/>
      <c r="S10" s="454"/>
      <c r="T10" s="454"/>
      <c r="U10" s="454"/>
      <c r="V10" s="454"/>
      <c r="W10" s="454"/>
      <c r="X10" s="454"/>
      <c r="Y10" s="454"/>
      <c r="Z10" s="456"/>
      <c r="AA10" s="454"/>
      <c r="AB10" s="454"/>
      <c r="AC10" s="457"/>
      <c r="AD10" s="162"/>
    </row>
    <row r="11" spans="1:30" ht="15" customHeight="1">
      <c r="A11" s="609" t="s">
        <v>14</v>
      </c>
      <c r="B11" s="610"/>
      <c r="C11" s="615" t="s">
        <v>15</v>
      </c>
      <c r="D11" s="616"/>
      <c r="E11" s="616"/>
      <c r="F11" s="616"/>
      <c r="G11" s="616"/>
      <c r="H11" s="616"/>
      <c r="I11" s="616"/>
      <c r="J11" s="616"/>
      <c r="K11" s="616"/>
      <c r="L11" s="616"/>
      <c r="M11" s="616"/>
      <c r="N11" s="616"/>
      <c r="O11" s="616"/>
      <c r="P11" s="616"/>
      <c r="Q11" s="616"/>
      <c r="R11" s="616"/>
      <c r="S11" s="616"/>
      <c r="T11" s="616"/>
      <c r="U11" s="616"/>
      <c r="V11" s="616"/>
      <c r="W11" s="616"/>
      <c r="X11" s="616"/>
      <c r="Y11" s="616"/>
      <c r="Z11" s="616"/>
      <c r="AA11" s="616"/>
      <c r="AB11" s="616"/>
      <c r="AC11" s="616"/>
      <c r="AD11" s="617"/>
    </row>
    <row r="12" spans="1:30" ht="15" customHeight="1">
      <c r="A12" s="611"/>
      <c r="B12" s="612"/>
      <c r="C12" s="618"/>
      <c r="D12" s="619"/>
      <c r="E12" s="619"/>
      <c r="F12" s="619"/>
      <c r="G12" s="619"/>
      <c r="H12" s="619"/>
      <c r="I12" s="619"/>
      <c r="J12" s="619"/>
      <c r="K12" s="619"/>
      <c r="L12" s="619"/>
      <c r="M12" s="619"/>
      <c r="N12" s="619"/>
      <c r="O12" s="619"/>
      <c r="P12" s="619"/>
      <c r="Q12" s="619"/>
      <c r="R12" s="619"/>
      <c r="S12" s="619"/>
      <c r="T12" s="619"/>
      <c r="U12" s="619"/>
      <c r="V12" s="619"/>
      <c r="W12" s="619"/>
      <c r="X12" s="619"/>
      <c r="Y12" s="619"/>
      <c r="Z12" s="619"/>
      <c r="AA12" s="619"/>
      <c r="AB12" s="619"/>
      <c r="AC12" s="619"/>
      <c r="AD12" s="620"/>
    </row>
    <row r="13" spans="1:30" ht="15" customHeight="1" thickBot="1">
      <c r="A13" s="613"/>
      <c r="B13" s="614"/>
      <c r="C13" s="621"/>
      <c r="D13" s="622"/>
      <c r="E13" s="622"/>
      <c r="F13" s="622"/>
      <c r="G13" s="622"/>
      <c r="H13" s="622"/>
      <c r="I13" s="622"/>
      <c r="J13" s="622"/>
      <c r="K13" s="622"/>
      <c r="L13" s="622"/>
      <c r="M13" s="622"/>
      <c r="N13" s="622"/>
      <c r="O13" s="622"/>
      <c r="P13" s="622"/>
      <c r="Q13" s="622"/>
      <c r="R13" s="622"/>
      <c r="S13" s="622"/>
      <c r="T13" s="622"/>
      <c r="U13" s="622"/>
      <c r="V13" s="622"/>
      <c r="W13" s="622"/>
      <c r="X13" s="622"/>
      <c r="Y13" s="622"/>
      <c r="Z13" s="622"/>
      <c r="AA13" s="622"/>
      <c r="AB13" s="622"/>
      <c r="AC13" s="622"/>
      <c r="AD13" s="623"/>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586" t="s">
        <v>16</v>
      </c>
      <c r="B15" s="587"/>
      <c r="C15" s="593" t="s">
        <v>17</v>
      </c>
      <c r="D15" s="594"/>
      <c r="E15" s="594"/>
      <c r="F15" s="594"/>
      <c r="G15" s="594"/>
      <c r="H15" s="594"/>
      <c r="I15" s="594"/>
      <c r="J15" s="594"/>
      <c r="K15" s="595"/>
      <c r="L15" s="577" t="s">
        <v>18</v>
      </c>
      <c r="M15" s="578"/>
      <c r="N15" s="578"/>
      <c r="O15" s="578"/>
      <c r="P15" s="578"/>
      <c r="Q15" s="579"/>
      <c r="R15" s="596" t="s">
        <v>19</v>
      </c>
      <c r="S15" s="597"/>
      <c r="T15" s="597"/>
      <c r="U15" s="597"/>
      <c r="V15" s="597"/>
      <c r="W15" s="597"/>
      <c r="X15" s="598"/>
      <c r="Y15" s="577" t="s">
        <v>20</v>
      </c>
      <c r="Z15" s="579"/>
      <c r="AA15" s="593" t="s">
        <v>21</v>
      </c>
      <c r="AB15" s="594"/>
      <c r="AC15" s="594"/>
      <c r="AD15" s="595"/>
    </row>
    <row r="16" spans="1:30" ht="9" customHeight="1" thickBot="1">
      <c r="A16" s="59"/>
      <c r="B16" s="54"/>
      <c r="C16" s="585"/>
      <c r="D16" s="585"/>
      <c r="E16" s="585"/>
      <c r="F16" s="585"/>
      <c r="G16" s="585"/>
      <c r="H16" s="585"/>
      <c r="I16" s="585"/>
      <c r="J16" s="585"/>
      <c r="K16" s="585"/>
      <c r="L16" s="585"/>
      <c r="M16" s="585"/>
      <c r="N16" s="585"/>
      <c r="O16" s="585"/>
      <c r="P16" s="585"/>
      <c r="Q16" s="585"/>
      <c r="R16" s="585"/>
      <c r="S16" s="585"/>
      <c r="T16" s="585"/>
      <c r="U16" s="585"/>
      <c r="V16" s="585"/>
      <c r="W16" s="585"/>
      <c r="X16" s="585"/>
      <c r="Y16" s="585"/>
      <c r="Z16" s="585"/>
      <c r="AA16" s="585"/>
      <c r="AB16" s="585"/>
      <c r="AC16" s="73"/>
      <c r="AD16" s="74"/>
    </row>
    <row r="17" spans="1:41" s="76" customFormat="1" ht="37.5" customHeight="1" thickBot="1">
      <c r="A17" s="586" t="s">
        <v>22</v>
      </c>
      <c r="B17" s="587"/>
      <c r="C17" s="588" t="s">
        <v>92</v>
      </c>
      <c r="D17" s="589"/>
      <c r="E17" s="589"/>
      <c r="F17" s="589"/>
      <c r="G17" s="589"/>
      <c r="H17" s="589"/>
      <c r="I17" s="589"/>
      <c r="J17" s="589"/>
      <c r="K17" s="589"/>
      <c r="L17" s="589"/>
      <c r="M17" s="589"/>
      <c r="N17" s="589"/>
      <c r="O17" s="589"/>
      <c r="P17" s="589"/>
      <c r="Q17" s="590"/>
      <c r="R17" s="577" t="s">
        <v>24</v>
      </c>
      <c r="S17" s="578"/>
      <c r="T17" s="578"/>
      <c r="U17" s="578"/>
      <c r="V17" s="579"/>
      <c r="W17" s="667">
        <v>4</v>
      </c>
      <c r="X17" s="668"/>
      <c r="Y17" s="578" t="s">
        <v>25</v>
      </c>
      <c r="Z17" s="578"/>
      <c r="AA17" s="578"/>
      <c r="AB17" s="579"/>
      <c r="AC17" s="575">
        <v>0.1</v>
      </c>
      <c r="AD17" s="576"/>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577" t="s">
        <v>26</v>
      </c>
      <c r="B19" s="578"/>
      <c r="C19" s="578"/>
      <c r="D19" s="578"/>
      <c r="E19" s="578"/>
      <c r="F19" s="578"/>
      <c r="G19" s="578"/>
      <c r="H19" s="578"/>
      <c r="I19" s="578"/>
      <c r="J19" s="578"/>
      <c r="K19" s="578"/>
      <c r="L19" s="578"/>
      <c r="M19" s="578"/>
      <c r="N19" s="578"/>
      <c r="O19" s="578"/>
      <c r="P19" s="578"/>
      <c r="Q19" s="578"/>
      <c r="R19" s="578"/>
      <c r="S19" s="578"/>
      <c r="T19" s="578"/>
      <c r="U19" s="578"/>
      <c r="V19" s="578"/>
      <c r="W19" s="578"/>
      <c r="X19" s="578"/>
      <c r="Y19" s="578"/>
      <c r="Z19" s="578"/>
      <c r="AA19" s="578"/>
      <c r="AB19" s="578"/>
      <c r="AC19" s="578"/>
      <c r="AD19" s="579"/>
      <c r="AE19" s="83"/>
      <c r="AF19" s="83"/>
    </row>
    <row r="20" spans="1:41" ht="32.1" customHeight="1" thickBot="1">
      <c r="A20" s="82"/>
      <c r="B20" s="60"/>
      <c r="C20" s="580" t="s">
        <v>27</v>
      </c>
      <c r="D20" s="581"/>
      <c r="E20" s="581"/>
      <c r="F20" s="581"/>
      <c r="G20" s="581"/>
      <c r="H20" s="581"/>
      <c r="I20" s="581"/>
      <c r="J20" s="581"/>
      <c r="K20" s="581"/>
      <c r="L20" s="581"/>
      <c r="M20" s="581"/>
      <c r="N20" s="581"/>
      <c r="O20" s="581"/>
      <c r="P20" s="582"/>
      <c r="Q20" s="580" t="s">
        <v>28</v>
      </c>
      <c r="R20" s="581"/>
      <c r="S20" s="581"/>
      <c r="T20" s="581"/>
      <c r="U20" s="581"/>
      <c r="V20" s="581"/>
      <c r="W20" s="581"/>
      <c r="X20" s="581"/>
      <c r="Y20" s="581"/>
      <c r="Z20" s="581"/>
      <c r="AA20" s="581"/>
      <c r="AB20" s="581"/>
      <c r="AC20" s="581"/>
      <c r="AD20" s="582"/>
      <c r="AE20" s="83"/>
      <c r="AF20" s="83"/>
    </row>
    <row r="21" spans="1:41" ht="32.1" customHeight="1" thickBot="1">
      <c r="A21" s="392"/>
      <c r="B21" s="56"/>
      <c r="C21" s="442" t="s">
        <v>29</v>
      </c>
      <c r="D21" s="443" t="s">
        <v>30</v>
      </c>
      <c r="E21" s="443" t="s">
        <v>31</v>
      </c>
      <c r="F21" s="443" t="s">
        <v>32</v>
      </c>
      <c r="G21" s="443" t="s">
        <v>33</v>
      </c>
      <c r="H21" s="443" t="s">
        <v>34</v>
      </c>
      <c r="I21" s="443" t="s">
        <v>35</v>
      </c>
      <c r="J21" s="443" t="s">
        <v>36</v>
      </c>
      <c r="K21" s="443" t="s">
        <v>37</v>
      </c>
      <c r="L21" s="443" t="s">
        <v>38</v>
      </c>
      <c r="M21" s="443" t="s">
        <v>39</v>
      </c>
      <c r="N21" s="443" t="s">
        <v>40</v>
      </c>
      <c r="O21" s="443" t="s">
        <v>41</v>
      </c>
      <c r="P21" s="444" t="s">
        <v>42</v>
      </c>
      <c r="Q21" s="442" t="s">
        <v>29</v>
      </c>
      <c r="R21" s="443" t="s">
        <v>30</v>
      </c>
      <c r="S21" s="443" t="s">
        <v>31</v>
      </c>
      <c r="T21" s="443" t="s">
        <v>32</v>
      </c>
      <c r="U21" s="443" t="s">
        <v>33</v>
      </c>
      <c r="V21" s="443" t="s">
        <v>34</v>
      </c>
      <c r="W21" s="443" t="s">
        <v>35</v>
      </c>
      <c r="X21" s="443" t="s">
        <v>36</v>
      </c>
      <c r="Y21" s="443" t="s">
        <v>37</v>
      </c>
      <c r="Z21" s="443" t="s">
        <v>38</v>
      </c>
      <c r="AA21" s="443" t="s">
        <v>39</v>
      </c>
      <c r="AB21" s="443" t="s">
        <v>40</v>
      </c>
      <c r="AC21" s="443" t="s">
        <v>41</v>
      </c>
      <c r="AD21" s="444" t="s">
        <v>42</v>
      </c>
      <c r="AE21" s="3"/>
      <c r="AF21" s="3"/>
    </row>
    <row r="22" spans="1:41" ht="32.1" customHeight="1">
      <c r="A22" s="583" t="s">
        <v>43</v>
      </c>
      <c r="B22" s="584"/>
      <c r="C22" s="168">
        <v>0</v>
      </c>
      <c r="D22" s="167">
        <v>0</v>
      </c>
      <c r="E22" s="167">
        <v>0</v>
      </c>
      <c r="F22" s="167">
        <v>0</v>
      </c>
      <c r="G22" s="167">
        <v>0</v>
      </c>
      <c r="H22" s="167">
        <v>0</v>
      </c>
      <c r="I22" s="167">
        <v>0</v>
      </c>
      <c r="J22" s="167">
        <v>0</v>
      </c>
      <c r="K22" s="167">
        <v>0</v>
      </c>
      <c r="L22" s="167">
        <v>0</v>
      </c>
      <c r="M22" s="167">
        <v>0</v>
      </c>
      <c r="N22" s="167">
        <v>0</v>
      </c>
      <c r="O22" s="167">
        <f>SUM(C22:N22)</f>
        <v>0</v>
      </c>
      <c r="P22" s="393"/>
      <c r="Q22" s="379">
        <v>0</v>
      </c>
      <c r="R22" s="167">
        <v>0</v>
      </c>
      <c r="S22" s="380">
        <v>0</v>
      </c>
      <c r="T22" s="380">
        <v>0</v>
      </c>
      <c r="U22" s="380">
        <v>0</v>
      </c>
      <c r="V22" s="380">
        <v>0</v>
      </c>
      <c r="W22" s="380">
        <f>184762000-500</f>
        <v>184761500</v>
      </c>
      <c r="X22" s="167">
        <v>0</v>
      </c>
      <c r="Y22" s="380">
        <v>0</v>
      </c>
      <c r="Z22" s="167">
        <v>0</v>
      </c>
      <c r="AA22" s="167">
        <v>0</v>
      </c>
      <c r="AB22" s="167">
        <v>0</v>
      </c>
      <c r="AC22" s="380">
        <f>SUM(Q22:AB22)</f>
        <v>184761500</v>
      </c>
      <c r="AD22" s="171"/>
      <c r="AE22" s="3"/>
      <c r="AF22" s="3"/>
      <c r="AG22" s="389"/>
    </row>
    <row r="23" spans="1:41" ht="32.1" customHeight="1">
      <c r="A23" s="550" t="s">
        <v>44</v>
      </c>
      <c r="B23" s="562"/>
      <c r="C23" s="164">
        <v>0</v>
      </c>
      <c r="D23" s="163">
        <v>0</v>
      </c>
      <c r="E23" s="163">
        <v>0</v>
      </c>
      <c r="F23" s="163">
        <v>0</v>
      </c>
      <c r="G23" s="163">
        <v>0</v>
      </c>
      <c r="H23" s="163">
        <v>0</v>
      </c>
      <c r="I23" s="163">
        <v>0</v>
      </c>
      <c r="J23" s="163">
        <v>0</v>
      </c>
      <c r="K23" s="163">
        <v>0</v>
      </c>
      <c r="L23" s="163">
        <v>0</v>
      </c>
      <c r="M23" s="163">
        <v>0</v>
      </c>
      <c r="N23" s="163">
        <v>0</v>
      </c>
      <c r="O23" s="167">
        <f>SUM(C23:N23)</f>
        <v>0</v>
      </c>
      <c r="P23" s="169" t="str">
        <f>IFERROR(O23/(SUMIF(C23:N23,"&gt;0",C22:N22))," ")</f>
        <v xml:space="preserve"> </v>
      </c>
      <c r="Q23" s="379">
        <v>0</v>
      </c>
      <c r="R23" s="167">
        <v>0</v>
      </c>
      <c r="S23" s="167">
        <v>0</v>
      </c>
      <c r="T23" s="167">
        <v>0</v>
      </c>
      <c r="U23" s="167">
        <v>0</v>
      </c>
      <c r="V23" s="167">
        <v>0</v>
      </c>
      <c r="W23" s="167">
        <v>0</v>
      </c>
      <c r="X23" s="167">
        <v>0</v>
      </c>
      <c r="Y23" s="167">
        <v>0</v>
      </c>
      <c r="Z23" s="167">
        <v>0</v>
      </c>
      <c r="AA23" s="167">
        <v>0</v>
      </c>
      <c r="AB23" s="167">
        <v>0</v>
      </c>
      <c r="AC23" s="381">
        <f>SUM(Q23:AB23)</f>
        <v>0</v>
      </c>
      <c r="AD23" s="169" t="str">
        <f>IFERROR(AC23/(SUMIF(Q23:AB23,"&gt;0",Q22:AB22))," ")</f>
        <v xml:space="preserve"> </v>
      </c>
      <c r="AE23" s="3"/>
      <c r="AF23" s="3"/>
    </row>
    <row r="24" spans="1:41" ht="32.1" customHeight="1">
      <c r="A24" s="550" t="s">
        <v>45</v>
      </c>
      <c r="B24" s="562"/>
      <c r="C24" s="164">
        <v>0</v>
      </c>
      <c r="D24" s="163">
        <v>0</v>
      </c>
      <c r="E24" s="163">
        <v>0</v>
      </c>
      <c r="F24" s="223">
        <v>24000003</v>
      </c>
      <c r="G24" s="163">
        <v>0</v>
      </c>
      <c r="H24" s="163">
        <v>0</v>
      </c>
      <c r="I24" s="163">
        <v>0</v>
      </c>
      <c r="J24" s="163">
        <v>0</v>
      </c>
      <c r="K24" s="163">
        <v>0</v>
      </c>
      <c r="L24" s="163">
        <v>0</v>
      </c>
      <c r="M24" s="163">
        <v>0</v>
      </c>
      <c r="N24" s="163">
        <v>0</v>
      </c>
      <c r="O24" s="167">
        <f>SUM(C24:N24)</f>
        <v>24000003</v>
      </c>
      <c r="P24" s="394"/>
      <c r="Q24" s="379">
        <v>0</v>
      </c>
      <c r="R24" s="380">
        <v>0</v>
      </c>
      <c r="S24" s="380">
        <v>0</v>
      </c>
      <c r="T24" s="380">
        <v>0</v>
      </c>
      <c r="U24" s="381">
        <v>0</v>
      </c>
      <c r="V24" s="381">
        <v>0</v>
      </c>
      <c r="W24" s="381">
        <v>0</v>
      </c>
      <c r="X24" s="381">
        <v>0</v>
      </c>
      <c r="Y24" s="381">
        <f>184762000*40%</f>
        <v>73904800</v>
      </c>
      <c r="Z24" s="381">
        <v>0</v>
      </c>
      <c r="AA24" s="381">
        <f>184762000*30%</f>
        <v>55428600</v>
      </c>
      <c r="AB24" s="381">
        <f>184762000*30%</f>
        <v>55428600</v>
      </c>
      <c r="AC24" s="381">
        <f>SUM(Q24:AB24)</f>
        <v>184762000</v>
      </c>
      <c r="AD24" s="169"/>
      <c r="AE24" s="973" t="s">
        <v>1095</v>
      </c>
      <c r="AF24" s="3"/>
    </row>
    <row r="25" spans="1:41" ht="32.1" customHeight="1" thickBot="1">
      <c r="A25" s="563" t="s">
        <v>46</v>
      </c>
      <c r="B25" s="564"/>
      <c r="C25" s="165">
        <v>0</v>
      </c>
      <c r="D25" s="166">
        <v>0</v>
      </c>
      <c r="E25" s="166">
        <v>0</v>
      </c>
      <c r="F25" s="166">
        <v>0</v>
      </c>
      <c r="G25" s="166">
        <v>0</v>
      </c>
      <c r="H25" s="166">
        <v>0</v>
      </c>
      <c r="I25" s="166">
        <v>0</v>
      </c>
      <c r="J25" s="166">
        <v>0</v>
      </c>
      <c r="K25" s="166">
        <v>0</v>
      </c>
      <c r="L25" s="166">
        <v>0</v>
      </c>
      <c r="M25" s="166">
        <v>0</v>
      </c>
      <c r="N25" s="166">
        <v>0</v>
      </c>
      <c r="O25" s="391">
        <f>SUM(C25:N25)</f>
        <v>0</v>
      </c>
      <c r="P25" s="170" t="str">
        <f>IFERROR(O25/(SUMIF(C25:N25,"&gt;0",C24:N24))," ")</f>
        <v xml:space="preserve"> </v>
      </c>
      <c r="Q25" s="467">
        <v>0</v>
      </c>
      <c r="R25" s="391">
        <v>0</v>
      </c>
      <c r="S25" s="391">
        <v>0</v>
      </c>
      <c r="T25" s="391">
        <v>0</v>
      </c>
      <c r="U25" s="391">
        <v>0</v>
      </c>
      <c r="V25" s="391">
        <v>0</v>
      </c>
      <c r="W25" s="391">
        <v>0</v>
      </c>
      <c r="X25" s="391">
        <v>0</v>
      </c>
      <c r="Y25" s="391"/>
      <c r="Z25" s="391">
        <v>0</v>
      </c>
      <c r="AA25" s="391">
        <v>0</v>
      </c>
      <c r="AB25" s="391">
        <v>0</v>
      </c>
      <c r="AC25" s="382">
        <f>SUM(Q25:AB25)</f>
        <v>0</v>
      </c>
      <c r="AD25" s="170" t="str">
        <f>IFERROR(AC25/(SUMIF(Q25:AB25,"&gt;0",Q24:AB24))," ")</f>
        <v xml:space="preserve"> </v>
      </c>
      <c r="AE25" s="3"/>
      <c r="AF25" s="3"/>
    </row>
    <row r="26" spans="1:41"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2"/>
    </row>
    <row r="27" spans="1:41" ht="33.950000000000003" customHeight="1">
      <c r="A27" s="565" t="s">
        <v>47</v>
      </c>
      <c r="B27" s="566"/>
      <c r="C27" s="567"/>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8"/>
    </row>
    <row r="28" spans="1:41" ht="15" customHeight="1">
      <c r="A28" s="569" t="s">
        <v>48</v>
      </c>
      <c r="B28" s="571" t="s">
        <v>49</v>
      </c>
      <c r="C28" s="572"/>
      <c r="D28" s="562" t="s">
        <v>50</v>
      </c>
      <c r="E28" s="573"/>
      <c r="F28" s="573"/>
      <c r="G28" s="573"/>
      <c r="H28" s="573"/>
      <c r="I28" s="573"/>
      <c r="J28" s="573"/>
      <c r="K28" s="573"/>
      <c r="L28" s="573"/>
      <c r="M28" s="573"/>
      <c r="N28" s="573"/>
      <c r="O28" s="574"/>
      <c r="P28" s="551" t="s">
        <v>41</v>
      </c>
      <c r="Q28" s="551" t="s">
        <v>51</v>
      </c>
      <c r="R28" s="551"/>
      <c r="S28" s="551"/>
      <c r="T28" s="551"/>
      <c r="U28" s="551"/>
      <c r="V28" s="551"/>
      <c r="W28" s="551"/>
      <c r="X28" s="551"/>
      <c r="Y28" s="551"/>
      <c r="Z28" s="551"/>
      <c r="AA28" s="551"/>
      <c r="AB28" s="551"/>
      <c r="AC28" s="551"/>
      <c r="AD28" s="552"/>
    </row>
    <row r="29" spans="1:41" ht="27" customHeight="1">
      <c r="A29" s="570"/>
      <c r="B29" s="535"/>
      <c r="C29" s="561"/>
      <c r="D29" s="88" t="s">
        <v>29</v>
      </c>
      <c r="E29" s="88" t="s">
        <v>30</v>
      </c>
      <c r="F29" s="88" t="s">
        <v>31</v>
      </c>
      <c r="G29" s="88" t="s">
        <v>32</v>
      </c>
      <c r="H29" s="88" t="s">
        <v>33</v>
      </c>
      <c r="I29" s="88" t="s">
        <v>34</v>
      </c>
      <c r="J29" s="88" t="s">
        <v>35</v>
      </c>
      <c r="K29" s="88" t="s">
        <v>36</v>
      </c>
      <c r="L29" s="88" t="s">
        <v>37</v>
      </c>
      <c r="M29" s="88" t="s">
        <v>38</v>
      </c>
      <c r="N29" s="88" t="s">
        <v>39</v>
      </c>
      <c r="O29" s="88" t="s">
        <v>40</v>
      </c>
      <c r="P29" s="574"/>
      <c r="Q29" s="551"/>
      <c r="R29" s="551"/>
      <c r="S29" s="551"/>
      <c r="T29" s="551"/>
      <c r="U29" s="551"/>
      <c r="V29" s="551"/>
      <c r="W29" s="551"/>
      <c r="X29" s="551"/>
      <c r="Y29" s="551"/>
      <c r="Z29" s="551"/>
      <c r="AA29" s="551"/>
      <c r="AB29" s="551"/>
      <c r="AC29" s="551"/>
      <c r="AD29" s="552"/>
    </row>
    <row r="30" spans="1:41" ht="84" customHeight="1" thickBot="1">
      <c r="A30" s="441" t="str">
        <f>C17</f>
        <v>Diseñar 13 contenidos para el desarrollo de capacidades socioemocionales, técnicas y digitales de las mujeres, en toda su diversidad.</v>
      </c>
      <c r="B30" s="669">
        <v>0</v>
      </c>
      <c r="C30" s="670"/>
      <c r="D30" s="89">
        <v>0</v>
      </c>
      <c r="E30" s="89"/>
      <c r="F30" s="89"/>
      <c r="G30" s="89"/>
      <c r="H30" s="89"/>
      <c r="I30" s="89"/>
      <c r="J30" s="89"/>
      <c r="K30" s="89"/>
      <c r="L30" s="89"/>
      <c r="M30" s="89"/>
      <c r="N30" s="89"/>
      <c r="O30" s="89"/>
      <c r="P30" s="86">
        <f>SUM(D30:O30)</f>
        <v>0</v>
      </c>
      <c r="Q30" s="555" t="s">
        <v>1064</v>
      </c>
      <c r="R30" s="555"/>
      <c r="S30" s="555"/>
      <c r="T30" s="555"/>
      <c r="U30" s="555"/>
      <c r="V30" s="555"/>
      <c r="W30" s="555"/>
      <c r="X30" s="555"/>
      <c r="Y30" s="555"/>
      <c r="Z30" s="555"/>
      <c r="AA30" s="555"/>
      <c r="AB30" s="555"/>
      <c r="AC30" s="555"/>
      <c r="AD30" s="556"/>
    </row>
    <row r="31" spans="1:41" ht="45" customHeight="1">
      <c r="A31" s="557" t="s">
        <v>53</v>
      </c>
      <c r="B31" s="558"/>
      <c r="C31" s="558"/>
      <c r="D31" s="558"/>
      <c r="E31" s="558"/>
      <c r="F31" s="558"/>
      <c r="G31" s="558"/>
      <c r="H31" s="558"/>
      <c r="I31" s="558"/>
      <c r="J31" s="558"/>
      <c r="K31" s="558"/>
      <c r="L31" s="558"/>
      <c r="M31" s="558"/>
      <c r="N31" s="558"/>
      <c r="O31" s="558"/>
      <c r="P31" s="558"/>
      <c r="Q31" s="558"/>
      <c r="R31" s="558"/>
      <c r="S31" s="558"/>
      <c r="T31" s="558"/>
      <c r="U31" s="558"/>
      <c r="V31" s="558"/>
      <c r="W31" s="558"/>
      <c r="X31" s="558"/>
      <c r="Y31" s="558"/>
      <c r="Z31" s="558"/>
      <c r="AA31" s="558"/>
      <c r="AB31" s="558"/>
      <c r="AC31" s="558"/>
      <c r="AD31" s="559"/>
    </row>
    <row r="32" spans="1:41" ht="23.1" customHeight="1">
      <c r="A32" s="671" t="s">
        <v>54</v>
      </c>
      <c r="B32" s="551" t="s">
        <v>55</v>
      </c>
      <c r="C32" s="551" t="s">
        <v>49</v>
      </c>
      <c r="D32" s="551" t="s">
        <v>56</v>
      </c>
      <c r="E32" s="551"/>
      <c r="F32" s="551"/>
      <c r="G32" s="551"/>
      <c r="H32" s="551"/>
      <c r="I32" s="551"/>
      <c r="J32" s="551"/>
      <c r="K32" s="551"/>
      <c r="L32" s="551"/>
      <c r="M32" s="551"/>
      <c r="N32" s="551"/>
      <c r="O32" s="551"/>
      <c r="P32" s="551"/>
      <c r="Q32" s="551" t="s">
        <v>57</v>
      </c>
      <c r="R32" s="551"/>
      <c r="S32" s="551"/>
      <c r="T32" s="551"/>
      <c r="U32" s="551"/>
      <c r="V32" s="551"/>
      <c r="W32" s="551"/>
      <c r="X32" s="551"/>
      <c r="Y32" s="551"/>
      <c r="Z32" s="551"/>
      <c r="AA32" s="551"/>
      <c r="AB32" s="551"/>
      <c r="AC32" s="551"/>
      <c r="AD32" s="552"/>
      <c r="AG32" s="87"/>
      <c r="AH32" s="87"/>
      <c r="AI32" s="87"/>
      <c r="AJ32" s="87"/>
      <c r="AK32" s="87"/>
      <c r="AL32" s="87"/>
      <c r="AM32" s="87"/>
      <c r="AN32" s="87"/>
      <c r="AO32" s="87"/>
    </row>
    <row r="33" spans="1:41" ht="23.1" customHeight="1">
      <c r="A33" s="672"/>
      <c r="B33" s="551"/>
      <c r="C33" s="560"/>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535" t="s">
        <v>58</v>
      </c>
      <c r="R33" s="536"/>
      <c r="S33" s="536"/>
      <c r="T33" s="536"/>
      <c r="U33" s="536"/>
      <c r="V33" s="561"/>
      <c r="W33" s="535" t="s">
        <v>59</v>
      </c>
      <c r="X33" s="536"/>
      <c r="Y33" s="536"/>
      <c r="Z33" s="561"/>
      <c r="AA33" s="535" t="s">
        <v>60</v>
      </c>
      <c r="AB33" s="536"/>
      <c r="AC33" s="536"/>
      <c r="AD33" s="537"/>
      <c r="AF33" s="160" t="s">
        <v>1072</v>
      </c>
      <c r="AG33" s="87"/>
      <c r="AH33" s="87"/>
      <c r="AI33" s="87"/>
      <c r="AJ33" s="87"/>
      <c r="AK33" s="87"/>
      <c r="AL33" s="87"/>
      <c r="AM33" s="87"/>
      <c r="AN33" s="87"/>
      <c r="AO33" s="87"/>
    </row>
    <row r="34" spans="1:41" ht="44.25" customHeight="1">
      <c r="A34" s="673" t="str">
        <f>C17</f>
        <v>Diseñar 13 contenidos para el desarrollo de capacidades socioemocionales, técnicas y digitales de las mujeres, en toda su diversidad.</v>
      </c>
      <c r="B34" s="540">
        <f>+B38</f>
        <v>0.1</v>
      </c>
      <c r="C34" s="90" t="s">
        <v>61</v>
      </c>
      <c r="D34" s="89">
        <v>0</v>
      </c>
      <c r="E34" s="89">
        <v>0</v>
      </c>
      <c r="F34" s="89">
        <v>0</v>
      </c>
      <c r="G34" s="89">
        <v>0</v>
      </c>
      <c r="H34" s="89">
        <v>0</v>
      </c>
      <c r="I34" s="89">
        <v>0</v>
      </c>
      <c r="J34" s="89">
        <v>0</v>
      </c>
      <c r="K34" s="89">
        <v>1</v>
      </c>
      <c r="L34" s="89">
        <v>0</v>
      </c>
      <c r="M34" s="89">
        <v>2</v>
      </c>
      <c r="N34" s="89">
        <v>0</v>
      </c>
      <c r="O34" s="89">
        <v>1</v>
      </c>
      <c r="P34" s="195">
        <f>SUM(D34:O34)</f>
        <v>4</v>
      </c>
      <c r="Q34" s="676" t="s">
        <v>1065</v>
      </c>
      <c r="R34" s="677"/>
      <c r="S34" s="677"/>
      <c r="T34" s="677"/>
      <c r="U34" s="677"/>
      <c r="V34" s="678"/>
      <c r="W34" s="542"/>
      <c r="X34" s="543"/>
      <c r="Y34" s="543"/>
      <c r="Z34" s="544"/>
      <c r="AA34" s="542"/>
      <c r="AB34" s="543"/>
      <c r="AC34" s="543"/>
      <c r="AD34" s="548"/>
      <c r="AF34" s="72" t="s">
        <v>1074</v>
      </c>
      <c r="AG34" s="87"/>
      <c r="AH34" s="87"/>
      <c r="AI34" s="87"/>
      <c r="AJ34" s="87"/>
      <c r="AK34" s="87"/>
      <c r="AL34" s="87"/>
      <c r="AM34" s="87"/>
      <c r="AN34" s="87"/>
      <c r="AO34" s="87"/>
    </row>
    <row r="35" spans="1:41" ht="44.25" customHeight="1" thickBot="1">
      <c r="A35" s="674"/>
      <c r="B35" s="675"/>
      <c r="C35" s="91" t="s">
        <v>65</v>
      </c>
      <c r="D35" s="460">
        <v>0</v>
      </c>
      <c r="E35" s="460"/>
      <c r="F35" s="460"/>
      <c r="G35" s="461"/>
      <c r="H35" s="461"/>
      <c r="I35" s="461"/>
      <c r="J35" s="461"/>
      <c r="K35" s="461"/>
      <c r="L35" s="461"/>
      <c r="M35" s="461"/>
      <c r="N35" s="461"/>
      <c r="O35" s="461"/>
      <c r="P35" s="461">
        <f>SUM(D35:O35)</f>
        <v>0</v>
      </c>
      <c r="Q35" s="679"/>
      <c r="R35" s="680"/>
      <c r="S35" s="680"/>
      <c r="T35" s="680"/>
      <c r="U35" s="680"/>
      <c r="V35" s="681"/>
      <c r="W35" s="682"/>
      <c r="X35" s="683"/>
      <c r="Y35" s="683"/>
      <c r="Z35" s="684"/>
      <c r="AA35" s="682"/>
      <c r="AB35" s="683"/>
      <c r="AC35" s="683"/>
      <c r="AD35" s="685"/>
      <c r="AE35" s="49"/>
      <c r="AF35" s="484">
        <f>LEN(AF34)</f>
        <v>289</v>
      </c>
      <c r="AG35" s="87"/>
      <c r="AH35" s="87"/>
      <c r="AI35" s="87"/>
      <c r="AJ35" s="87"/>
      <c r="AK35" s="87"/>
      <c r="AL35" s="87"/>
      <c r="AM35" s="87"/>
      <c r="AN35" s="87"/>
      <c r="AO35" s="87"/>
    </row>
    <row r="36" spans="1:41" ht="26.1" customHeight="1">
      <c r="A36" s="583" t="s">
        <v>66</v>
      </c>
      <c r="B36" s="695" t="s">
        <v>67</v>
      </c>
      <c r="C36" s="697" t="s">
        <v>68</v>
      </c>
      <c r="D36" s="697"/>
      <c r="E36" s="697"/>
      <c r="F36" s="697"/>
      <c r="G36" s="697"/>
      <c r="H36" s="697"/>
      <c r="I36" s="697"/>
      <c r="J36" s="697"/>
      <c r="K36" s="697"/>
      <c r="L36" s="697"/>
      <c r="M36" s="697"/>
      <c r="N36" s="697"/>
      <c r="O36" s="697"/>
      <c r="P36" s="697"/>
      <c r="Q36" s="584" t="s">
        <v>69</v>
      </c>
      <c r="R36" s="698"/>
      <c r="S36" s="698"/>
      <c r="T36" s="698"/>
      <c r="U36" s="698"/>
      <c r="V36" s="698"/>
      <c r="W36" s="698"/>
      <c r="X36" s="698"/>
      <c r="Y36" s="698"/>
      <c r="Z36" s="698"/>
      <c r="AA36" s="698"/>
      <c r="AB36" s="698"/>
      <c r="AC36" s="698"/>
      <c r="AD36" s="699"/>
      <c r="AG36" s="87"/>
      <c r="AH36" s="87"/>
      <c r="AI36" s="87"/>
      <c r="AJ36" s="87"/>
      <c r="AK36" s="87"/>
      <c r="AL36" s="87"/>
      <c r="AM36" s="87"/>
      <c r="AN36" s="87"/>
      <c r="AO36" s="87"/>
    </row>
    <row r="37" spans="1:41" ht="26.1" customHeight="1">
      <c r="A37" s="550"/>
      <c r="B37" s="696"/>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562" t="s">
        <v>84</v>
      </c>
      <c r="R37" s="573"/>
      <c r="S37" s="573"/>
      <c r="T37" s="573"/>
      <c r="U37" s="573"/>
      <c r="V37" s="573"/>
      <c r="W37" s="573"/>
      <c r="X37" s="573"/>
      <c r="Y37" s="573"/>
      <c r="Z37" s="573"/>
      <c r="AA37" s="573"/>
      <c r="AB37" s="573"/>
      <c r="AC37" s="573"/>
      <c r="AD37" s="700"/>
      <c r="AG37" s="94"/>
      <c r="AH37" s="94"/>
      <c r="AI37" s="94"/>
      <c r="AJ37" s="94"/>
      <c r="AK37" s="94"/>
      <c r="AL37" s="94"/>
      <c r="AM37" s="94"/>
      <c r="AN37" s="94"/>
      <c r="AO37" s="94"/>
    </row>
    <row r="38" spans="1:41" ht="51" customHeight="1">
      <c r="A38" s="686" t="s">
        <v>93</v>
      </c>
      <c r="B38" s="687">
        <v>0.1</v>
      </c>
      <c r="C38" s="90" t="s">
        <v>61</v>
      </c>
      <c r="D38" s="95">
        <v>0</v>
      </c>
      <c r="E38" s="95">
        <v>0</v>
      </c>
      <c r="F38" s="95">
        <v>0</v>
      </c>
      <c r="G38" s="95">
        <v>0</v>
      </c>
      <c r="H38" s="95">
        <v>0</v>
      </c>
      <c r="I38" s="95">
        <v>0</v>
      </c>
      <c r="J38" s="95">
        <v>0</v>
      </c>
      <c r="K38" s="95">
        <v>0.25</v>
      </c>
      <c r="L38" s="95">
        <v>0</v>
      </c>
      <c r="M38" s="95">
        <v>0.5</v>
      </c>
      <c r="N38" s="95">
        <v>0</v>
      </c>
      <c r="O38" s="95">
        <v>0.25</v>
      </c>
      <c r="P38" s="96">
        <f t="shared" ref="P38:P39" si="0">SUM(D38:O38)</f>
        <v>1</v>
      </c>
      <c r="Q38" s="689" t="s">
        <v>1066</v>
      </c>
      <c r="R38" s="690"/>
      <c r="S38" s="690"/>
      <c r="T38" s="690"/>
      <c r="U38" s="690"/>
      <c r="V38" s="690"/>
      <c r="W38" s="690"/>
      <c r="X38" s="690"/>
      <c r="Y38" s="690"/>
      <c r="Z38" s="690"/>
      <c r="AA38" s="690"/>
      <c r="AB38" s="690"/>
      <c r="AC38" s="690"/>
      <c r="AD38" s="691"/>
      <c r="AE38" s="97"/>
      <c r="AG38" s="98"/>
      <c r="AH38" s="98"/>
      <c r="AI38" s="98"/>
      <c r="AJ38" s="98"/>
      <c r="AK38" s="98"/>
      <c r="AL38" s="98"/>
      <c r="AM38" s="98"/>
      <c r="AN38" s="98"/>
      <c r="AO38" s="98"/>
    </row>
    <row r="39" spans="1:41" ht="51" customHeight="1" thickBot="1">
      <c r="A39" s="528"/>
      <c r="B39" s="688"/>
      <c r="C39" s="91" t="s">
        <v>65</v>
      </c>
      <c r="D39" s="460">
        <v>0</v>
      </c>
      <c r="E39" s="105"/>
      <c r="F39" s="105"/>
      <c r="G39" s="105"/>
      <c r="H39" s="105"/>
      <c r="I39" s="105"/>
      <c r="J39" s="105"/>
      <c r="K39" s="105"/>
      <c r="L39" s="105"/>
      <c r="M39" s="105"/>
      <c r="N39" s="105"/>
      <c r="O39" s="105"/>
      <c r="P39" s="107">
        <f t="shared" si="0"/>
        <v>0</v>
      </c>
      <c r="Q39" s="692"/>
      <c r="R39" s="693"/>
      <c r="S39" s="693"/>
      <c r="T39" s="693"/>
      <c r="U39" s="693"/>
      <c r="V39" s="693"/>
      <c r="W39" s="693"/>
      <c r="X39" s="693"/>
      <c r="Y39" s="693"/>
      <c r="Z39" s="693"/>
      <c r="AA39" s="693"/>
      <c r="AB39" s="693"/>
      <c r="AC39" s="693"/>
      <c r="AD39" s="694"/>
      <c r="AE39" s="97"/>
    </row>
    <row r="40" spans="1:41">
      <c r="A40" s="50" t="s">
        <v>91</v>
      </c>
    </row>
  </sheetData>
  <mergeCells count="71">
    <mergeCell ref="A38:A39"/>
    <mergeCell ref="B38:B39"/>
    <mergeCell ref="Q38:AD39"/>
    <mergeCell ref="A36:A37"/>
    <mergeCell ref="B36:B37"/>
    <mergeCell ref="C36:P36"/>
    <mergeCell ref="Q36:AD36"/>
    <mergeCell ref="Q37:AD37"/>
    <mergeCell ref="A34:A35"/>
    <mergeCell ref="B34:B35"/>
    <mergeCell ref="Q34:V35"/>
    <mergeCell ref="W34:Z35"/>
    <mergeCell ref="AA34:AD35"/>
    <mergeCell ref="B30:C30"/>
    <mergeCell ref="Q30:AD30"/>
    <mergeCell ref="A31:AD31"/>
    <mergeCell ref="A32:A33"/>
    <mergeCell ref="B32:B33"/>
    <mergeCell ref="C32:C33"/>
    <mergeCell ref="D32:P32"/>
    <mergeCell ref="Q32:AD32"/>
    <mergeCell ref="Q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AB4:AD4"/>
    <mergeCell ref="I7:J9"/>
    <mergeCell ref="K7:L9"/>
    <mergeCell ref="M7:N7"/>
    <mergeCell ref="A1:A4"/>
    <mergeCell ref="B1:AA1"/>
    <mergeCell ref="AB1:AD1"/>
    <mergeCell ref="B2:AA2"/>
    <mergeCell ref="AB2:AD2"/>
    <mergeCell ref="B3:AA4"/>
    <mergeCell ref="AB3:AD3"/>
    <mergeCell ref="O7:P7"/>
    <mergeCell ref="M8:N8"/>
    <mergeCell ref="O8:P8"/>
    <mergeCell ref="M9:N9"/>
    <mergeCell ref="O9:P9"/>
  </mergeCells>
  <dataValidations count="3">
    <dataValidation type="list" allowBlank="1" showInputMessage="1" showErrorMessage="1" sqref="C7:C9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WVK7:WVK9" xr:uid="{2CAD77F4-E9FD-4E37-8E26-1635D9A6775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34 W34 Q38:AD39" xr:uid="{00000000-0002-0000-0000-000002000000}">
      <formula1>2000</formula1>
    </dataValidation>
  </dataValidations>
  <printOptions horizontalCentered="1"/>
  <pageMargins left="0.19685039370078741" right="0.19685039370078741" top="0.19685039370078741" bottom="0.19685039370078741" header="0" footer="0"/>
  <pageSetup scale="28"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Y67"/>
  <sheetViews>
    <sheetView showGridLines="0" view="pageBreakPreview" topLeftCell="Q5" zoomScale="60" zoomScaleNormal="75" workbookViewId="0">
      <selection activeCell="AD21" sqref="AD21"/>
    </sheetView>
  </sheetViews>
  <sheetFormatPr baseColWidth="10" defaultColWidth="10.85546875" defaultRowHeight="15"/>
  <cols>
    <col min="1" max="1" width="38.42578125" style="50" customWidth="1"/>
    <col min="2" max="2" width="17.140625" style="50" customWidth="1"/>
    <col min="3" max="14" width="20.7109375" style="50" customWidth="1"/>
    <col min="15" max="15" width="16.140625" style="50" customWidth="1"/>
    <col min="16" max="16" width="18.140625" style="50" customWidth="1"/>
    <col min="17" max="17" width="18.85546875" style="50" customWidth="1"/>
    <col min="18"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c r="A1" s="638"/>
      <c r="B1" s="641" t="s">
        <v>0</v>
      </c>
      <c r="C1" s="642"/>
      <c r="D1" s="642"/>
      <c r="E1" s="642"/>
      <c r="F1" s="642"/>
      <c r="G1" s="642"/>
      <c r="H1" s="642"/>
      <c r="I1" s="642"/>
      <c r="J1" s="642"/>
      <c r="K1" s="642"/>
      <c r="L1" s="642"/>
      <c r="M1" s="642"/>
      <c r="N1" s="642"/>
      <c r="O1" s="642"/>
      <c r="P1" s="642"/>
      <c r="Q1" s="642"/>
      <c r="R1" s="642"/>
      <c r="S1" s="642"/>
      <c r="T1" s="642"/>
      <c r="U1" s="642"/>
      <c r="V1" s="642"/>
      <c r="W1" s="642"/>
      <c r="X1" s="642"/>
      <c r="Y1" s="642"/>
      <c r="Z1" s="642"/>
      <c r="AA1" s="643"/>
      <c r="AB1" s="659" t="s">
        <v>1</v>
      </c>
      <c r="AC1" s="660"/>
      <c r="AD1" s="661"/>
    </row>
    <row r="2" spans="1:30" ht="30.75" customHeight="1">
      <c r="A2" s="639"/>
      <c r="B2" s="647" t="s">
        <v>2</v>
      </c>
      <c r="C2" s="648"/>
      <c r="D2" s="648"/>
      <c r="E2" s="648"/>
      <c r="F2" s="648"/>
      <c r="G2" s="648"/>
      <c r="H2" s="648"/>
      <c r="I2" s="648"/>
      <c r="J2" s="648"/>
      <c r="K2" s="648"/>
      <c r="L2" s="648"/>
      <c r="M2" s="648"/>
      <c r="N2" s="648"/>
      <c r="O2" s="648"/>
      <c r="P2" s="648"/>
      <c r="Q2" s="648"/>
      <c r="R2" s="648"/>
      <c r="S2" s="648"/>
      <c r="T2" s="648"/>
      <c r="U2" s="648"/>
      <c r="V2" s="648"/>
      <c r="W2" s="648"/>
      <c r="X2" s="648"/>
      <c r="Y2" s="648"/>
      <c r="Z2" s="648"/>
      <c r="AA2" s="649"/>
      <c r="AB2" s="662" t="s">
        <v>3</v>
      </c>
      <c r="AC2" s="663"/>
      <c r="AD2" s="664"/>
    </row>
    <row r="3" spans="1:30" ht="24" customHeight="1">
      <c r="A3" s="639"/>
      <c r="B3" s="618" t="s">
        <v>4</v>
      </c>
      <c r="C3" s="619"/>
      <c r="D3" s="619"/>
      <c r="E3" s="619"/>
      <c r="F3" s="619"/>
      <c r="G3" s="619"/>
      <c r="H3" s="619"/>
      <c r="I3" s="619"/>
      <c r="J3" s="619"/>
      <c r="K3" s="619"/>
      <c r="L3" s="619"/>
      <c r="M3" s="619"/>
      <c r="N3" s="619"/>
      <c r="O3" s="619"/>
      <c r="P3" s="619"/>
      <c r="Q3" s="619"/>
      <c r="R3" s="619"/>
      <c r="S3" s="619"/>
      <c r="T3" s="619"/>
      <c r="U3" s="619"/>
      <c r="V3" s="619"/>
      <c r="W3" s="619"/>
      <c r="X3" s="619"/>
      <c r="Y3" s="619"/>
      <c r="Z3" s="619"/>
      <c r="AA3" s="620"/>
      <c r="AB3" s="662" t="s">
        <v>5</v>
      </c>
      <c r="AC3" s="663"/>
      <c r="AD3" s="664"/>
    </row>
    <row r="4" spans="1:30" ht="21.95" customHeight="1" thickBot="1">
      <c r="A4" s="640"/>
      <c r="B4" s="621"/>
      <c r="C4" s="622"/>
      <c r="D4" s="622"/>
      <c r="E4" s="622"/>
      <c r="F4" s="622"/>
      <c r="G4" s="622"/>
      <c r="H4" s="622"/>
      <c r="I4" s="622"/>
      <c r="J4" s="622"/>
      <c r="K4" s="622"/>
      <c r="L4" s="622"/>
      <c r="M4" s="622"/>
      <c r="N4" s="622"/>
      <c r="O4" s="622"/>
      <c r="P4" s="622"/>
      <c r="Q4" s="622"/>
      <c r="R4" s="622"/>
      <c r="S4" s="622"/>
      <c r="T4" s="622"/>
      <c r="U4" s="622"/>
      <c r="V4" s="622"/>
      <c r="W4" s="622"/>
      <c r="X4" s="622"/>
      <c r="Y4" s="622"/>
      <c r="Z4" s="622"/>
      <c r="AA4" s="623"/>
      <c r="AB4" s="656" t="s">
        <v>6</v>
      </c>
      <c r="AC4" s="657"/>
      <c r="AD4" s="658"/>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c r="A7" s="609" t="s">
        <v>7</v>
      </c>
      <c r="B7" s="610"/>
      <c r="C7" s="624"/>
      <c r="D7" s="609" t="s">
        <v>8</v>
      </c>
      <c r="E7" s="627"/>
      <c r="F7" s="627"/>
      <c r="G7" s="627"/>
      <c r="H7" s="610"/>
      <c r="I7" s="630">
        <v>44595</v>
      </c>
      <c r="J7" s="631"/>
      <c r="K7" s="609" t="s">
        <v>9</v>
      </c>
      <c r="L7" s="610"/>
      <c r="M7" s="636" t="s">
        <v>10</v>
      </c>
      <c r="N7" s="637"/>
      <c r="O7" s="599" t="s">
        <v>11</v>
      </c>
      <c r="P7" s="600"/>
      <c r="Q7" s="54"/>
      <c r="R7" s="54"/>
      <c r="S7" s="54"/>
      <c r="T7" s="54"/>
      <c r="U7" s="54"/>
      <c r="V7" s="54"/>
      <c r="W7" s="54"/>
      <c r="X7" s="54"/>
      <c r="Y7" s="54"/>
      <c r="Z7" s="55"/>
      <c r="AA7" s="54"/>
      <c r="AB7" s="54"/>
      <c r="AC7" s="60"/>
      <c r="AD7" s="61"/>
    </row>
    <row r="8" spans="1:30">
      <c r="A8" s="611"/>
      <c r="B8" s="612"/>
      <c r="C8" s="625"/>
      <c r="D8" s="611"/>
      <c r="E8" s="628"/>
      <c r="F8" s="628"/>
      <c r="G8" s="628"/>
      <c r="H8" s="612"/>
      <c r="I8" s="632"/>
      <c r="J8" s="633"/>
      <c r="K8" s="611"/>
      <c r="L8" s="612"/>
      <c r="M8" s="601" t="s">
        <v>12</v>
      </c>
      <c r="N8" s="602"/>
      <c r="O8" s="603"/>
      <c r="P8" s="604"/>
      <c r="Q8" s="54"/>
      <c r="R8" s="54"/>
      <c r="S8" s="54"/>
      <c r="T8" s="54"/>
      <c r="U8" s="54"/>
      <c r="V8" s="54"/>
      <c r="W8" s="54"/>
      <c r="X8" s="54"/>
      <c r="Y8" s="54"/>
      <c r="Z8" s="55"/>
      <c r="AA8" s="54"/>
      <c r="AB8" s="54"/>
      <c r="AC8" s="60"/>
      <c r="AD8" s="61"/>
    </row>
    <row r="9" spans="1:30" ht="15.75" thickBot="1">
      <c r="A9" s="613"/>
      <c r="B9" s="614"/>
      <c r="C9" s="626"/>
      <c r="D9" s="613"/>
      <c r="E9" s="629"/>
      <c r="F9" s="629"/>
      <c r="G9" s="629"/>
      <c r="H9" s="614"/>
      <c r="I9" s="634"/>
      <c r="J9" s="635"/>
      <c r="K9" s="613"/>
      <c r="L9" s="614"/>
      <c r="M9" s="605" t="s">
        <v>13</v>
      </c>
      <c r="N9" s="606"/>
      <c r="O9" s="665" t="s">
        <v>11</v>
      </c>
      <c r="P9" s="666"/>
      <c r="Q9" s="54"/>
      <c r="R9" s="54"/>
      <c r="S9" s="54"/>
      <c r="T9" s="54"/>
      <c r="U9" s="54"/>
      <c r="V9" s="54"/>
      <c r="W9" s="54"/>
      <c r="X9" s="54"/>
      <c r="Y9" s="54"/>
      <c r="Z9" s="55"/>
      <c r="AA9" s="54"/>
      <c r="AB9" s="54"/>
      <c r="AC9" s="60"/>
      <c r="AD9" s="61"/>
    </row>
    <row r="10" spans="1:30" ht="15" customHeight="1" thickBot="1">
      <c r="A10" s="161"/>
      <c r="B10" s="454"/>
      <c r="C10" s="454"/>
      <c r="D10" s="65"/>
      <c r="E10" s="65"/>
      <c r="F10" s="65"/>
      <c r="G10" s="65"/>
      <c r="H10" s="65"/>
      <c r="I10" s="455"/>
      <c r="J10" s="455"/>
      <c r="K10" s="65"/>
      <c r="L10" s="65"/>
      <c r="M10" s="159"/>
      <c r="N10" s="159"/>
      <c r="O10" s="160"/>
      <c r="P10" s="160"/>
      <c r="Q10" s="454"/>
      <c r="R10" s="454"/>
      <c r="S10" s="454"/>
      <c r="T10" s="454"/>
      <c r="U10" s="454"/>
      <c r="V10" s="454"/>
      <c r="W10" s="454"/>
      <c r="X10" s="454"/>
      <c r="Y10" s="454"/>
      <c r="Z10" s="456"/>
      <c r="AA10" s="454"/>
      <c r="AB10" s="454"/>
      <c r="AC10" s="457"/>
      <c r="AD10" s="162"/>
    </row>
    <row r="11" spans="1:30" ht="15" customHeight="1">
      <c r="A11" s="609" t="s">
        <v>14</v>
      </c>
      <c r="B11" s="610"/>
      <c r="C11" s="615" t="s">
        <v>15</v>
      </c>
      <c r="D11" s="616"/>
      <c r="E11" s="616"/>
      <c r="F11" s="616"/>
      <c r="G11" s="616"/>
      <c r="H11" s="616"/>
      <c r="I11" s="616"/>
      <c r="J11" s="616"/>
      <c r="K11" s="616"/>
      <c r="L11" s="616"/>
      <c r="M11" s="616"/>
      <c r="N11" s="616"/>
      <c r="O11" s="616"/>
      <c r="P11" s="616"/>
      <c r="Q11" s="616"/>
      <c r="R11" s="616"/>
      <c r="S11" s="616"/>
      <c r="T11" s="616"/>
      <c r="U11" s="616"/>
      <c r="V11" s="616"/>
      <c r="W11" s="616"/>
      <c r="X11" s="616"/>
      <c r="Y11" s="616"/>
      <c r="Z11" s="616"/>
      <c r="AA11" s="616"/>
      <c r="AB11" s="616"/>
      <c r="AC11" s="616"/>
      <c r="AD11" s="617"/>
    </row>
    <row r="12" spans="1:30" ht="15" customHeight="1">
      <c r="A12" s="611"/>
      <c r="B12" s="612"/>
      <c r="C12" s="618"/>
      <c r="D12" s="619"/>
      <c r="E12" s="619"/>
      <c r="F12" s="619"/>
      <c r="G12" s="619"/>
      <c r="H12" s="619"/>
      <c r="I12" s="619"/>
      <c r="J12" s="619"/>
      <c r="K12" s="619"/>
      <c r="L12" s="619"/>
      <c r="M12" s="619"/>
      <c r="N12" s="619"/>
      <c r="O12" s="619"/>
      <c r="P12" s="619"/>
      <c r="Q12" s="619"/>
      <c r="R12" s="619"/>
      <c r="S12" s="619"/>
      <c r="T12" s="619"/>
      <c r="U12" s="619"/>
      <c r="V12" s="619"/>
      <c r="W12" s="619"/>
      <c r="X12" s="619"/>
      <c r="Y12" s="619"/>
      <c r="Z12" s="619"/>
      <c r="AA12" s="619"/>
      <c r="AB12" s="619"/>
      <c r="AC12" s="619"/>
      <c r="AD12" s="620"/>
    </row>
    <row r="13" spans="1:30" ht="15" customHeight="1" thickBot="1">
      <c r="A13" s="613"/>
      <c r="B13" s="614"/>
      <c r="C13" s="621"/>
      <c r="D13" s="622"/>
      <c r="E13" s="622"/>
      <c r="F13" s="622"/>
      <c r="G13" s="622"/>
      <c r="H13" s="622"/>
      <c r="I13" s="622"/>
      <c r="J13" s="622"/>
      <c r="K13" s="622"/>
      <c r="L13" s="622"/>
      <c r="M13" s="622"/>
      <c r="N13" s="622"/>
      <c r="O13" s="622"/>
      <c r="P13" s="622"/>
      <c r="Q13" s="622"/>
      <c r="R13" s="622"/>
      <c r="S13" s="622"/>
      <c r="T13" s="622"/>
      <c r="U13" s="622"/>
      <c r="V13" s="622"/>
      <c r="W13" s="622"/>
      <c r="X13" s="622"/>
      <c r="Y13" s="622"/>
      <c r="Z13" s="622"/>
      <c r="AA13" s="622"/>
      <c r="AB13" s="622"/>
      <c r="AC13" s="622"/>
      <c r="AD13" s="623"/>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586" t="s">
        <v>16</v>
      </c>
      <c r="B15" s="587"/>
      <c r="C15" s="593" t="s">
        <v>17</v>
      </c>
      <c r="D15" s="594"/>
      <c r="E15" s="594"/>
      <c r="F15" s="594"/>
      <c r="G15" s="594"/>
      <c r="H15" s="594"/>
      <c r="I15" s="594"/>
      <c r="J15" s="594"/>
      <c r="K15" s="595"/>
      <c r="L15" s="577" t="s">
        <v>18</v>
      </c>
      <c r="M15" s="578"/>
      <c r="N15" s="578"/>
      <c r="O15" s="578"/>
      <c r="P15" s="578"/>
      <c r="Q15" s="579"/>
      <c r="R15" s="596" t="s">
        <v>19</v>
      </c>
      <c r="S15" s="597"/>
      <c r="T15" s="597"/>
      <c r="U15" s="597"/>
      <c r="V15" s="597"/>
      <c r="W15" s="597"/>
      <c r="X15" s="598"/>
      <c r="Y15" s="577" t="s">
        <v>20</v>
      </c>
      <c r="Z15" s="579"/>
      <c r="AA15" s="593" t="s">
        <v>21</v>
      </c>
      <c r="AB15" s="594"/>
      <c r="AC15" s="594"/>
      <c r="AD15" s="595"/>
    </row>
    <row r="16" spans="1:30" ht="9" customHeight="1" thickBot="1">
      <c r="A16" s="59"/>
      <c r="B16" s="54"/>
      <c r="C16" s="585"/>
      <c r="D16" s="585"/>
      <c r="E16" s="585"/>
      <c r="F16" s="585"/>
      <c r="G16" s="585"/>
      <c r="H16" s="585"/>
      <c r="I16" s="585"/>
      <c r="J16" s="585"/>
      <c r="K16" s="585"/>
      <c r="L16" s="585"/>
      <c r="M16" s="585"/>
      <c r="N16" s="585"/>
      <c r="O16" s="585"/>
      <c r="P16" s="585"/>
      <c r="Q16" s="585"/>
      <c r="R16" s="585"/>
      <c r="S16" s="585"/>
      <c r="T16" s="585"/>
      <c r="U16" s="585"/>
      <c r="V16" s="585"/>
      <c r="W16" s="585"/>
      <c r="X16" s="585"/>
      <c r="Y16" s="585"/>
      <c r="Z16" s="585"/>
      <c r="AA16" s="585"/>
      <c r="AB16" s="585"/>
      <c r="AC16" s="73"/>
      <c r="AD16" s="74"/>
    </row>
    <row r="17" spans="1:41" s="76" customFormat="1" ht="37.5" customHeight="1" thickBot="1">
      <c r="A17" s="586" t="s">
        <v>22</v>
      </c>
      <c r="B17" s="587"/>
      <c r="C17" s="588" t="s">
        <v>95</v>
      </c>
      <c r="D17" s="589"/>
      <c r="E17" s="589"/>
      <c r="F17" s="589"/>
      <c r="G17" s="589"/>
      <c r="H17" s="589"/>
      <c r="I17" s="589"/>
      <c r="J17" s="589"/>
      <c r="K17" s="589"/>
      <c r="L17" s="589"/>
      <c r="M17" s="589"/>
      <c r="N17" s="589"/>
      <c r="O17" s="589"/>
      <c r="P17" s="589"/>
      <c r="Q17" s="590"/>
      <c r="R17" s="577" t="s">
        <v>24</v>
      </c>
      <c r="S17" s="578"/>
      <c r="T17" s="578"/>
      <c r="U17" s="578"/>
      <c r="V17" s="579"/>
      <c r="W17" s="707">
        <v>0.2</v>
      </c>
      <c r="X17" s="708"/>
      <c r="Y17" s="578" t="s">
        <v>25</v>
      </c>
      <c r="Z17" s="578"/>
      <c r="AA17" s="578"/>
      <c r="AB17" s="579"/>
      <c r="AC17" s="575">
        <v>0.25</v>
      </c>
      <c r="AD17" s="576"/>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577" t="s">
        <v>26</v>
      </c>
      <c r="B19" s="578"/>
      <c r="C19" s="578"/>
      <c r="D19" s="578"/>
      <c r="E19" s="578"/>
      <c r="F19" s="578"/>
      <c r="G19" s="578"/>
      <c r="H19" s="578"/>
      <c r="I19" s="578"/>
      <c r="J19" s="578"/>
      <c r="K19" s="578"/>
      <c r="L19" s="578"/>
      <c r="M19" s="578"/>
      <c r="N19" s="578"/>
      <c r="O19" s="578"/>
      <c r="P19" s="578"/>
      <c r="Q19" s="578"/>
      <c r="R19" s="578"/>
      <c r="S19" s="578"/>
      <c r="T19" s="578"/>
      <c r="U19" s="578"/>
      <c r="V19" s="578"/>
      <c r="W19" s="578"/>
      <c r="X19" s="578"/>
      <c r="Y19" s="578"/>
      <c r="Z19" s="578"/>
      <c r="AA19" s="578"/>
      <c r="AB19" s="578"/>
      <c r="AC19" s="578"/>
      <c r="AD19" s="579"/>
      <c r="AE19" s="83"/>
      <c r="AF19" s="83"/>
    </row>
    <row r="20" spans="1:41" ht="32.1" customHeight="1" thickBot="1">
      <c r="A20" s="82"/>
      <c r="B20" s="60"/>
      <c r="C20" s="580" t="s">
        <v>27</v>
      </c>
      <c r="D20" s="581"/>
      <c r="E20" s="581"/>
      <c r="F20" s="581"/>
      <c r="G20" s="581"/>
      <c r="H20" s="581"/>
      <c r="I20" s="581"/>
      <c r="J20" s="581"/>
      <c r="K20" s="581"/>
      <c r="L20" s="581"/>
      <c r="M20" s="581"/>
      <c r="N20" s="581"/>
      <c r="O20" s="581"/>
      <c r="P20" s="582"/>
      <c r="Q20" s="580" t="s">
        <v>28</v>
      </c>
      <c r="R20" s="581"/>
      <c r="S20" s="581"/>
      <c r="T20" s="581"/>
      <c r="U20" s="581"/>
      <c r="V20" s="581"/>
      <c r="W20" s="581"/>
      <c r="X20" s="581"/>
      <c r="Y20" s="581"/>
      <c r="Z20" s="581"/>
      <c r="AA20" s="581"/>
      <c r="AB20" s="581"/>
      <c r="AC20" s="581"/>
      <c r="AD20" s="582"/>
      <c r="AE20" s="83"/>
      <c r="AF20" s="83"/>
    </row>
    <row r="21" spans="1:41" ht="32.1" customHeight="1" thickBot="1">
      <c r="A21" s="392"/>
      <c r="B21" s="56"/>
      <c r="C21" s="442" t="s">
        <v>29</v>
      </c>
      <c r="D21" s="443" t="s">
        <v>30</v>
      </c>
      <c r="E21" s="443" t="s">
        <v>31</v>
      </c>
      <c r="F21" s="443" t="s">
        <v>32</v>
      </c>
      <c r="G21" s="443" t="s">
        <v>33</v>
      </c>
      <c r="H21" s="443" t="s">
        <v>34</v>
      </c>
      <c r="I21" s="443" t="s">
        <v>35</v>
      </c>
      <c r="J21" s="443" t="s">
        <v>36</v>
      </c>
      <c r="K21" s="443" t="s">
        <v>37</v>
      </c>
      <c r="L21" s="443" t="s">
        <v>38</v>
      </c>
      <c r="M21" s="443" t="s">
        <v>39</v>
      </c>
      <c r="N21" s="443" t="s">
        <v>40</v>
      </c>
      <c r="O21" s="443" t="s">
        <v>41</v>
      </c>
      <c r="P21" s="444" t="s">
        <v>42</v>
      </c>
      <c r="Q21" s="442" t="s">
        <v>29</v>
      </c>
      <c r="R21" s="443" t="s">
        <v>30</v>
      </c>
      <c r="S21" s="443" t="s">
        <v>31</v>
      </c>
      <c r="T21" s="443" t="s">
        <v>32</v>
      </c>
      <c r="U21" s="443" t="s">
        <v>33</v>
      </c>
      <c r="V21" s="443" t="s">
        <v>34</v>
      </c>
      <c r="W21" s="443" t="s">
        <v>35</v>
      </c>
      <c r="X21" s="443" t="s">
        <v>36</v>
      </c>
      <c r="Y21" s="443" t="s">
        <v>37</v>
      </c>
      <c r="Z21" s="443" t="s">
        <v>38</v>
      </c>
      <c r="AA21" s="443" t="s">
        <v>39</v>
      </c>
      <c r="AB21" s="443" t="s">
        <v>40</v>
      </c>
      <c r="AC21" s="443" t="s">
        <v>41</v>
      </c>
      <c r="AD21" s="444" t="s">
        <v>42</v>
      </c>
      <c r="AE21" s="3"/>
      <c r="AF21" s="3"/>
    </row>
    <row r="22" spans="1:41" ht="32.1" customHeight="1">
      <c r="A22" s="583" t="s">
        <v>43</v>
      </c>
      <c r="B22" s="584"/>
      <c r="C22" s="168">
        <v>0</v>
      </c>
      <c r="D22" s="167">
        <v>0</v>
      </c>
      <c r="E22" s="167">
        <v>0</v>
      </c>
      <c r="F22" s="167">
        <v>0</v>
      </c>
      <c r="G22" s="167">
        <v>0</v>
      </c>
      <c r="H22" s="167">
        <v>0</v>
      </c>
      <c r="I22" s="167">
        <v>0</v>
      </c>
      <c r="J22" s="167">
        <v>0</v>
      </c>
      <c r="K22" s="167">
        <v>0</v>
      </c>
      <c r="L22" s="167">
        <v>0</v>
      </c>
      <c r="M22" s="167">
        <v>0</v>
      </c>
      <c r="N22" s="167">
        <v>0</v>
      </c>
      <c r="O22" s="167">
        <f>SUM(C22:N22)</f>
        <v>0</v>
      </c>
      <c r="P22" s="393"/>
      <c r="Q22" s="379">
        <v>1452847000</v>
      </c>
      <c r="R22" s="167">
        <v>0</v>
      </c>
      <c r="S22" s="380">
        <v>0</v>
      </c>
      <c r="T22" s="380">
        <f>(5500000*9%)+(150000000*67%)</f>
        <v>100995000</v>
      </c>
      <c r="U22" s="380">
        <f>(471340694*5%)+8000000</f>
        <v>31567034.700000003</v>
      </c>
      <c r="V22" s="380">
        <f>(58000000*14%)+(5117000*29%)+(71651306*19%)</f>
        <v>23217678.140000001</v>
      </c>
      <c r="W22" s="380">
        <v>0</v>
      </c>
      <c r="X22" s="167">
        <v>0</v>
      </c>
      <c r="Y22" s="380">
        <v>0</v>
      </c>
      <c r="Z22" s="167">
        <v>0</v>
      </c>
      <c r="AA22" s="167">
        <v>0</v>
      </c>
      <c r="AB22" s="167">
        <v>0</v>
      </c>
      <c r="AC22" s="380">
        <f>SUM(Q22:AB22)</f>
        <v>1608626712.8400002</v>
      </c>
      <c r="AD22" s="171"/>
      <c r="AE22" s="3"/>
      <c r="AF22" s="3"/>
      <c r="AG22" s="389"/>
    </row>
    <row r="23" spans="1:41" ht="32.1" customHeight="1">
      <c r="A23" s="550" t="s">
        <v>44</v>
      </c>
      <c r="B23" s="562"/>
      <c r="C23" s="164">
        <v>0</v>
      </c>
      <c r="D23" s="163">
        <v>0</v>
      </c>
      <c r="E23" s="163">
        <v>0</v>
      </c>
      <c r="F23" s="163">
        <v>0</v>
      </c>
      <c r="G23" s="163">
        <v>0</v>
      </c>
      <c r="H23" s="163">
        <v>0</v>
      </c>
      <c r="I23" s="163">
        <v>0</v>
      </c>
      <c r="J23" s="163">
        <v>0</v>
      </c>
      <c r="K23" s="163">
        <v>0</v>
      </c>
      <c r="L23" s="163">
        <v>0</v>
      </c>
      <c r="M23" s="163">
        <v>0</v>
      </c>
      <c r="N23" s="163">
        <v>0</v>
      </c>
      <c r="O23" s="167">
        <f>SUM(C23:N23)</f>
        <v>0</v>
      </c>
      <c r="P23" s="169" t="str">
        <f>IFERROR(O23/(SUMIF(C23:N23,"&gt;0",C22:N22))," ")</f>
        <v xml:space="preserve"> </v>
      </c>
      <c r="Q23" s="379">
        <v>1451347000</v>
      </c>
      <c r="R23" s="167">
        <v>0</v>
      </c>
      <c r="S23" s="167">
        <v>0</v>
      </c>
      <c r="T23" s="167">
        <v>0</v>
      </c>
      <c r="U23" s="167">
        <v>0</v>
      </c>
      <c r="V23" s="167">
        <v>0</v>
      </c>
      <c r="W23" s="167">
        <v>0</v>
      </c>
      <c r="X23" s="167">
        <v>0</v>
      </c>
      <c r="Y23" s="167">
        <v>0</v>
      </c>
      <c r="Z23" s="167">
        <v>0</v>
      </c>
      <c r="AA23" s="167">
        <v>0</v>
      </c>
      <c r="AB23" s="167">
        <v>0</v>
      </c>
      <c r="AC23" s="381">
        <f>SUM(Q23:AB23)</f>
        <v>1451347000</v>
      </c>
      <c r="AD23" s="466">
        <f>IFERROR(AC23/(SUMIF(Q23:AB23,"&gt;0",Q22:AB22))," ")</f>
        <v>0.99896754441451852</v>
      </c>
      <c r="AE23" s="3"/>
      <c r="AF23" s="3"/>
    </row>
    <row r="24" spans="1:41" ht="32.1" customHeight="1">
      <c r="A24" s="550" t="s">
        <v>45</v>
      </c>
      <c r="B24" s="562"/>
      <c r="C24" s="164">
        <v>0</v>
      </c>
      <c r="D24" s="223">
        <f>4533333</f>
        <v>4533333</v>
      </c>
      <c r="E24" s="223">
        <v>10440573</v>
      </c>
      <c r="F24" s="223">
        <v>209747.69999999899</v>
      </c>
      <c r="G24" s="163">
        <v>0</v>
      </c>
      <c r="H24" s="163">
        <v>0</v>
      </c>
      <c r="I24" s="163">
        <v>0</v>
      </c>
      <c r="J24" s="163">
        <v>0</v>
      </c>
      <c r="K24" s="163">
        <v>0</v>
      </c>
      <c r="L24" s="163">
        <v>0</v>
      </c>
      <c r="M24" s="163">
        <v>0</v>
      </c>
      <c r="N24" s="163">
        <v>0</v>
      </c>
      <c r="O24" s="468">
        <f>SUM(C24:N24)</f>
        <v>15183653.699999999</v>
      </c>
      <c r="P24" s="394"/>
      <c r="Q24" s="379">
        <v>0</v>
      </c>
      <c r="R24" s="380">
        <v>47124065.236666664</v>
      </c>
      <c r="S24" s="380">
        <v>135175398.56999999</v>
      </c>
      <c r="T24" s="380">
        <v>135175398.56999999</v>
      </c>
      <c r="U24" s="381">
        <v>135175398.56999999</v>
      </c>
      <c r="V24" s="381">
        <v>135237273.56999999</v>
      </c>
      <c r="W24" s="381">
        <v>170752273.56999999</v>
      </c>
      <c r="X24" s="381">
        <v>137252273.56999999</v>
      </c>
      <c r="Y24" s="381">
        <v>170752273.56999999</v>
      </c>
      <c r="Z24" s="381">
        <v>137252273.56999999</v>
      </c>
      <c r="AA24" s="381">
        <v>170752273.56999999</v>
      </c>
      <c r="AB24" s="381">
        <f>137252273.57+96725536.9033333</f>
        <v>233977810.4733333</v>
      </c>
      <c r="AC24" s="381">
        <f>SUM(Q24:AB24)</f>
        <v>1608626712.8399997</v>
      </c>
      <c r="AD24" s="169"/>
      <c r="AE24" s="3"/>
      <c r="AF24" s="3"/>
    </row>
    <row r="25" spans="1:41" ht="32.1" customHeight="1" thickBot="1">
      <c r="A25" s="563" t="s">
        <v>46</v>
      </c>
      <c r="B25" s="564"/>
      <c r="C25" s="470">
        <v>1721301.54</v>
      </c>
      <c r="D25" s="166">
        <v>0</v>
      </c>
      <c r="E25" s="166">
        <v>0</v>
      </c>
      <c r="F25" s="166">
        <v>0</v>
      </c>
      <c r="G25" s="166">
        <v>0</v>
      </c>
      <c r="H25" s="166">
        <v>0</v>
      </c>
      <c r="I25" s="166">
        <v>0</v>
      </c>
      <c r="J25" s="166">
        <v>0</v>
      </c>
      <c r="K25" s="166">
        <v>0</v>
      </c>
      <c r="L25" s="166">
        <v>0</v>
      </c>
      <c r="M25" s="166">
        <v>0</v>
      </c>
      <c r="N25" s="166">
        <v>0</v>
      </c>
      <c r="O25" s="469">
        <f>SUM(C25:N25)</f>
        <v>1721301.54</v>
      </c>
      <c r="P25" s="170" t="str">
        <f>IFERROR(O25/(SUMIF(C25:N25,"&gt;0",C24:N24))," ")</f>
        <v xml:space="preserve"> </v>
      </c>
      <c r="Q25" s="390">
        <v>0</v>
      </c>
      <c r="R25" s="391">
        <v>0</v>
      </c>
      <c r="S25" s="391">
        <v>0</v>
      </c>
      <c r="T25" s="391">
        <v>0</v>
      </c>
      <c r="U25" s="391">
        <v>0</v>
      </c>
      <c r="V25" s="391">
        <v>0</v>
      </c>
      <c r="W25" s="391">
        <v>0</v>
      </c>
      <c r="X25" s="391">
        <v>0</v>
      </c>
      <c r="Y25" s="391"/>
      <c r="Z25" s="391">
        <v>0</v>
      </c>
      <c r="AA25" s="391">
        <v>0</v>
      </c>
      <c r="AB25" s="391">
        <v>0</v>
      </c>
      <c r="AC25" s="382">
        <f>SUM(Q25:AB25)</f>
        <v>0</v>
      </c>
      <c r="AD25" s="170" t="str">
        <f>IFERROR(AC25/(SUMIF(Q25:AB25,"&gt;0",Q24:AB24))," ")</f>
        <v xml:space="preserve"> </v>
      </c>
      <c r="AE25" s="3"/>
      <c r="AF25" s="3"/>
    </row>
    <row r="26" spans="1:41"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2"/>
    </row>
    <row r="27" spans="1:41" ht="33.950000000000003" customHeight="1">
      <c r="A27" s="565" t="s">
        <v>47</v>
      </c>
      <c r="B27" s="566"/>
      <c r="C27" s="567"/>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8"/>
    </row>
    <row r="28" spans="1:41" ht="15" customHeight="1">
      <c r="A28" s="569" t="s">
        <v>48</v>
      </c>
      <c r="B28" s="571" t="s">
        <v>49</v>
      </c>
      <c r="C28" s="572"/>
      <c r="D28" s="562" t="s">
        <v>50</v>
      </c>
      <c r="E28" s="573"/>
      <c r="F28" s="573"/>
      <c r="G28" s="573"/>
      <c r="H28" s="573"/>
      <c r="I28" s="573"/>
      <c r="J28" s="573"/>
      <c r="K28" s="573"/>
      <c r="L28" s="573"/>
      <c r="M28" s="573"/>
      <c r="N28" s="573"/>
      <c r="O28" s="574"/>
      <c r="P28" s="551" t="s">
        <v>41</v>
      </c>
      <c r="Q28" s="551" t="s">
        <v>51</v>
      </c>
      <c r="R28" s="551"/>
      <c r="S28" s="551"/>
      <c r="T28" s="551"/>
      <c r="U28" s="551"/>
      <c r="V28" s="551"/>
      <c r="W28" s="551"/>
      <c r="X28" s="551"/>
      <c r="Y28" s="551"/>
      <c r="Z28" s="551"/>
      <c r="AA28" s="551"/>
      <c r="AB28" s="551"/>
      <c r="AC28" s="551"/>
      <c r="AD28" s="552"/>
    </row>
    <row r="29" spans="1:41" ht="27" customHeight="1">
      <c r="A29" s="570"/>
      <c r="B29" s="535"/>
      <c r="C29" s="561"/>
      <c r="D29" s="88" t="s">
        <v>29</v>
      </c>
      <c r="E29" s="88" t="s">
        <v>30</v>
      </c>
      <c r="F29" s="88" t="s">
        <v>31</v>
      </c>
      <c r="G29" s="88" t="s">
        <v>32</v>
      </c>
      <c r="H29" s="88" t="s">
        <v>33</v>
      </c>
      <c r="I29" s="88" t="s">
        <v>34</v>
      </c>
      <c r="J29" s="88" t="s">
        <v>35</v>
      </c>
      <c r="K29" s="88" t="s">
        <v>36</v>
      </c>
      <c r="L29" s="88" t="s">
        <v>37</v>
      </c>
      <c r="M29" s="88" t="s">
        <v>38</v>
      </c>
      <c r="N29" s="88" t="s">
        <v>39</v>
      </c>
      <c r="O29" s="88" t="s">
        <v>40</v>
      </c>
      <c r="P29" s="574"/>
      <c r="Q29" s="551"/>
      <c r="R29" s="551"/>
      <c r="S29" s="551"/>
      <c r="T29" s="551"/>
      <c r="U29" s="551"/>
      <c r="V29" s="551"/>
      <c r="W29" s="551"/>
      <c r="X29" s="551"/>
      <c r="Y29" s="551"/>
      <c r="Z29" s="551"/>
      <c r="AA29" s="551"/>
      <c r="AB29" s="551"/>
      <c r="AC29" s="551"/>
      <c r="AD29" s="552"/>
    </row>
    <row r="30" spans="1:41" ht="96" customHeight="1" thickBot="1">
      <c r="A30" s="441" t="str">
        <f>C17</f>
        <v>Diseñar e implementar una (1) estrategía para el desarrollo de capacidades socioemocionales y técnicas de las mujeres en toda su diversidad para su emprendimiento y empleabilidad.</v>
      </c>
      <c r="B30" s="669">
        <v>0</v>
      </c>
      <c r="C30" s="670"/>
      <c r="D30" s="89">
        <v>0</v>
      </c>
      <c r="E30" s="89"/>
      <c r="F30" s="89"/>
      <c r="G30" s="89"/>
      <c r="H30" s="89"/>
      <c r="I30" s="89"/>
      <c r="J30" s="89"/>
      <c r="K30" s="89"/>
      <c r="L30" s="89"/>
      <c r="M30" s="89"/>
      <c r="N30" s="89"/>
      <c r="O30" s="89"/>
      <c r="P30" s="86">
        <f>SUM(D30:O30)</f>
        <v>0</v>
      </c>
      <c r="Q30" s="555" t="s">
        <v>1071</v>
      </c>
      <c r="R30" s="555"/>
      <c r="S30" s="555"/>
      <c r="T30" s="555"/>
      <c r="U30" s="555"/>
      <c r="V30" s="555"/>
      <c r="W30" s="555"/>
      <c r="X30" s="555"/>
      <c r="Y30" s="555"/>
      <c r="Z30" s="555"/>
      <c r="AA30" s="555"/>
      <c r="AB30" s="555"/>
      <c r="AC30" s="555"/>
      <c r="AD30" s="556"/>
    </row>
    <row r="31" spans="1:41" ht="45" customHeight="1">
      <c r="A31" s="557" t="s">
        <v>53</v>
      </c>
      <c r="B31" s="558"/>
      <c r="C31" s="558"/>
      <c r="D31" s="558"/>
      <c r="E31" s="558"/>
      <c r="F31" s="558"/>
      <c r="G31" s="558"/>
      <c r="H31" s="558"/>
      <c r="I31" s="558"/>
      <c r="J31" s="558"/>
      <c r="K31" s="558"/>
      <c r="L31" s="558"/>
      <c r="M31" s="558"/>
      <c r="N31" s="558"/>
      <c r="O31" s="558"/>
      <c r="P31" s="558"/>
      <c r="Q31" s="558"/>
      <c r="R31" s="558"/>
      <c r="S31" s="558"/>
      <c r="T31" s="558"/>
      <c r="U31" s="558"/>
      <c r="V31" s="558"/>
      <c r="W31" s="558"/>
      <c r="X31" s="558"/>
      <c r="Y31" s="558"/>
      <c r="Z31" s="558"/>
      <c r="AA31" s="558"/>
      <c r="AB31" s="558"/>
      <c r="AC31" s="558"/>
      <c r="AD31" s="559"/>
    </row>
    <row r="32" spans="1:41" ht="23.1" customHeight="1">
      <c r="A32" s="550" t="s">
        <v>54</v>
      </c>
      <c r="B32" s="551" t="s">
        <v>55</v>
      </c>
      <c r="C32" s="551" t="s">
        <v>49</v>
      </c>
      <c r="D32" s="551" t="s">
        <v>56</v>
      </c>
      <c r="E32" s="551"/>
      <c r="F32" s="551"/>
      <c r="G32" s="551"/>
      <c r="H32" s="551"/>
      <c r="I32" s="551"/>
      <c r="J32" s="551"/>
      <c r="K32" s="551"/>
      <c r="L32" s="551"/>
      <c r="M32" s="551"/>
      <c r="N32" s="551"/>
      <c r="O32" s="551"/>
      <c r="P32" s="551"/>
      <c r="Q32" s="551" t="s">
        <v>57</v>
      </c>
      <c r="R32" s="551"/>
      <c r="S32" s="551"/>
      <c r="T32" s="551"/>
      <c r="U32" s="551"/>
      <c r="V32" s="551"/>
      <c r="W32" s="551"/>
      <c r="X32" s="551"/>
      <c r="Y32" s="551"/>
      <c r="Z32" s="551"/>
      <c r="AA32" s="551"/>
      <c r="AB32" s="551"/>
      <c r="AC32" s="551"/>
      <c r="AD32" s="552"/>
      <c r="AG32" s="87"/>
      <c r="AH32" s="87"/>
      <c r="AI32" s="87"/>
      <c r="AJ32" s="87"/>
      <c r="AK32" s="87"/>
      <c r="AL32" s="87"/>
      <c r="AM32" s="87"/>
      <c r="AN32" s="87"/>
      <c r="AO32" s="87"/>
    </row>
    <row r="33" spans="1:41" ht="23.1" customHeight="1">
      <c r="A33" s="550"/>
      <c r="B33" s="551"/>
      <c r="C33" s="560"/>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535" t="s">
        <v>58</v>
      </c>
      <c r="R33" s="536"/>
      <c r="S33" s="536"/>
      <c r="T33" s="536"/>
      <c r="U33" s="536"/>
      <c r="V33" s="561"/>
      <c r="W33" s="535" t="s">
        <v>59</v>
      </c>
      <c r="X33" s="536"/>
      <c r="Y33" s="536"/>
      <c r="Z33" s="561"/>
      <c r="AA33" s="535" t="s">
        <v>60</v>
      </c>
      <c r="AB33" s="536"/>
      <c r="AC33" s="536"/>
      <c r="AD33" s="537"/>
      <c r="AF33" s="160" t="s">
        <v>1072</v>
      </c>
      <c r="AG33" s="87"/>
      <c r="AH33" s="87"/>
      <c r="AI33" s="87"/>
      <c r="AJ33" s="87"/>
      <c r="AK33" s="87"/>
      <c r="AL33" s="87"/>
      <c r="AM33" s="87"/>
      <c r="AN33" s="87"/>
      <c r="AO33" s="87"/>
    </row>
    <row r="34" spans="1:41" ht="81" customHeight="1">
      <c r="A34" s="673" t="str">
        <f>C17</f>
        <v>Diseñar e implementar una (1) estrategía para el desarrollo de capacidades socioemocionales y técnicas de las mujeres en toda su diversidad para su emprendimiento y empleabilidad.</v>
      </c>
      <c r="B34" s="540">
        <f>B38+B40+B42+B44+B46</f>
        <v>0.25</v>
      </c>
      <c r="C34" s="90" t="s">
        <v>61</v>
      </c>
      <c r="D34" s="221">
        <f>D67</f>
        <v>0</v>
      </c>
      <c r="E34" s="221">
        <f t="shared" ref="E34:O34" si="0">E67</f>
        <v>1.0400000000000003E-2</v>
      </c>
      <c r="F34" s="221">
        <f t="shared" si="0"/>
        <v>2.0000000000000004E-2</v>
      </c>
      <c r="G34" s="221">
        <f t="shared" si="0"/>
        <v>2.0000000000000004E-2</v>
      </c>
      <c r="H34" s="221">
        <f t="shared" si="0"/>
        <v>2.0000000000000004E-2</v>
      </c>
      <c r="I34" s="221">
        <f t="shared" si="0"/>
        <v>2.0000000000000004E-2</v>
      </c>
      <c r="J34" s="221">
        <f t="shared" si="0"/>
        <v>2.0000000000000004E-2</v>
      </c>
      <c r="K34" s="221">
        <f t="shared" si="0"/>
        <v>2.0000000000000004E-2</v>
      </c>
      <c r="L34" s="221">
        <f t="shared" si="0"/>
        <v>2.0000000000000004E-2</v>
      </c>
      <c r="M34" s="221">
        <f t="shared" si="0"/>
        <v>2.0000000000000004E-2</v>
      </c>
      <c r="N34" s="221">
        <f t="shared" si="0"/>
        <v>2.0000000000000004E-2</v>
      </c>
      <c r="O34" s="221">
        <f t="shared" si="0"/>
        <v>9.6000000000000026E-3</v>
      </c>
      <c r="P34" s="221">
        <f>SUM(D34:O34)</f>
        <v>0.20000000000000007</v>
      </c>
      <c r="Q34" s="709" t="s">
        <v>96</v>
      </c>
      <c r="R34" s="710"/>
      <c r="S34" s="710"/>
      <c r="T34" s="710"/>
      <c r="U34" s="710"/>
      <c r="V34" s="711"/>
      <c r="W34" s="715"/>
      <c r="X34" s="716"/>
      <c r="Y34" s="716"/>
      <c r="Z34" s="717"/>
      <c r="AA34" s="715" t="s">
        <v>97</v>
      </c>
      <c r="AB34" s="716"/>
      <c r="AC34" s="716"/>
      <c r="AD34" s="721"/>
      <c r="AF34" s="72" t="s">
        <v>1075</v>
      </c>
      <c r="AG34" s="87"/>
      <c r="AH34" s="87"/>
      <c r="AI34" s="87"/>
      <c r="AJ34" s="87"/>
      <c r="AK34" s="87"/>
      <c r="AL34" s="87"/>
      <c r="AM34" s="87"/>
      <c r="AN34" s="87"/>
      <c r="AO34" s="87"/>
    </row>
    <row r="35" spans="1:41" ht="81" customHeight="1" thickBot="1">
      <c r="A35" s="674"/>
      <c r="B35" s="675"/>
      <c r="C35" s="410" t="s">
        <v>65</v>
      </c>
      <c r="D35" s="411">
        <f>D64</f>
        <v>0</v>
      </c>
      <c r="E35" s="411">
        <f t="shared" ref="E35:O35" si="1">E64</f>
        <v>0</v>
      </c>
      <c r="F35" s="411">
        <f t="shared" si="1"/>
        <v>0</v>
      </c>
      <c r="G35" s="411">
        <f t="shared" si="1"/>
        <v>0</v>
      </c>
      <c r="H35" s="411">
        <f t="shared" si="1"/>
        <v>0</v>
      </c>
      <c r="I35" s="411">
        <f t="shared" si="1"/>
        <v>0</v>
      </c>
      <c r="J35" s="411">
        <f t="shared" si="1"/>
        <v>0</v>
      </c>
      <c r="K35" s="411">
        <f t="shared" si="1"/>
        <v>0</v>
      </c>
      <c r="L35" s="411">
        <f t="shared" si="1"/>
        <v>0</v>
      </c>
      <c r="M35" s="411">
        <f t="shared" si="1"/>
        <v>0</v>
      </c>
      <c r="N35" s="411">
        <f t="shared" si="1"/>
        <v>0</v>
      </c>
      <c r="O35" s="411">
        <f t="shared" si="1"/>
        <v>0</v>
      </c>
      <c r="P35" s="409">
        <f>SUM(D35:O35)</f>
        <v>0</v>
      </c>
      <c r="Q35" s="712"/>
      <c r="R35" s="713"/>
      <c r="S35" s="713"/>
      <c r="T35" s="713"/>
      <c r="U35" s="713"/>
      <c r="V35" s="714"/>
      <c r="W35" s="718"/>
      <c r="X35" s="719"/>
      <c r="Y35" s="719"/>
      <c r="Z35" s="720"/>
      <c r="AA35" s="718"/>
      <c r="AB35" s="719"/>
      <c r="AC35" s="719"/>
      <c r="AD35" s="722"/>
      <c r="AE35" s="49"/>
      <c r="AF35" s="484">
        <f>LEN(AF34)</f>
        <v>300</v>
      </c>
      <c r="AG35" s="87"/>
      <c r="AH35" s="87"/>
      <c r="AI35" s="87"/>
      <c r="AJ35" s="87"/>
      <c r="AK35" s="87"/>
      <c r="AL35" s="87"/>
      <c r="AM35" s="87"/>
      <c r="AN35" s="87"/>
      <c r="AO35" s="87"/>
    </row>
    <row r="36" spans="1:41" ht="32.25" customHeight="1">
      <c r="A36" s="583" t="s">
        <v>66</v>
      </c>
      <c r="B36" s="695" t="s">
        <v>67</v>
      </c>
      <c r="C36" s="697" t="s">
        <v>68</v>
      </c>
      <c r="D36" s="697"/>
      <c r="E36" s="697"/>
      <c r="F36" s="697"/>
      <c r="G36" s="697"/>
      <c r="H36" s="697"/>
      <c r="I36" s="697"/>
      <c r="J36" s="697"/>
      <c r="K36" s="697"/>
      <c r="L36" s="697"/>
      <c r="M36" s="697"/>
      <c r="N36" s="697"/>
      <c r="O36" s="697"/>
      <c r="P36" s="697"/>
      <c r="Q36" s="584" t="s">
        <v>69</v>
      </c>
      <c r="R36" s="698"/>
      <c r="S36" s="698"/>
      <c r="T36" s="698"/>
      <c r="U36" s="698"/>
      <c r="V36" s="698"/>
      <c r="W36" s="698"/>
      <c r="X36" s="698"/>
      <c r="Y36" s="698"/>
      <c r="Z36" s="698"/>
      <c r="AA36" s="698"/>
      <c r="AB36" s="698"/>
      <c r="AC36" s="698"/>
      <c r="AD36" s="699"/>
      <c r="AG36" s="87"/>
      <c r="AH36" s="87"/>
      <c r="AI36" s="87"/>
      <c r="AJ36" s="87"/>
      <c r="AK36" s="87"/>
      <c r="AL36" s="87"/>
      <c r="AM36" s="87"/>
      <c r="AN36" s="87"/>
      <c r="AO36" s="87"/>
    </row>
    <row r="37" spans="1:41" ht="32.25" customHeight="1" thickBot="1">
      <c r="A37" s="671"/>
      <c r="B37" s="723"/>
      <c r="C37" s="218" t="s">
        <v>70</v>
      </c>
      <c r="D37" s="218" t="s">
        <v>71</v>
      </c>
      <c r="E37" s="218" t="s">
        <v>72</v>
      </c>
      <c r="F37" s="218" t="s">
        <v>73</v>
      </c>
      <c r="G37" s="218" t="s">
        <v>74</v>
      </c>
      <c r="H37" s="218" t="s">
        <v>75</v>
      </c>
      <c r="I37" s="218" t="s">
        <v>76</v>
      </c>
      <c r="J37" s="218" t="s">
        <v>77</v>
      </c>
      <c r="K37" s="218" t="s">
        <v>78</v>
      </c>
      <c r="L37" s="218" t="s">
        <v>79</v>
      </c>
      <c r="M37" s="218" t="s">
        <v>80</v>
      </c>
      <c r="N37" s="218" t="s">
        <v>81</v>
      </c>
      <c r="O37" s="218" t="s">
        <v>82</v>
      </c>
      <c r="P37" s="218" t="s">
        <v>83</v>
      </c>
      <c r="Q37" s="571" t="s">
        <v>84</v>
      </c>
      <c r="R37" s="724"/>
      <c r="S37" s="724"/>
      <c r="T37" s="724"/>
      <c r="U37" s="724"/>
      <c r="V37" s="724"/>
      <c r="W37" s="724"/>
      <c r="X37" s="724"/>
      <c r="Y37" s="724"/>
      <c r="Z37" s="724"/>
      <c r="AA37" s="724"/>
      <c r="AB37" s="724"/>
      <c r="AC37" s="724"/>
      <c r="AD37" s="725"/>
      <c r="AG37" s="94"/>
      <c r="AH37" s="94"/>
      <c r="AI37" s="94"/>
      <c r="AJ37" s="94"/>
      <c r="AK37" s="94"/>
      <c r="AL37" s="94"/>
      <c r="AM37" s="94"/>
      <c r="AN37" s="94"/>
      <c r="AO37" s="94"/>
    </row>
    <row r="38" spans="1:41" ht="45.95" customHeight="1">
      <c r="A38" s="738" t="s">
        <v>98</v>
      </c>
      <c r="B38" s="739">
        <v>7.0000000000000007E-2</v>
      </c>
      <c r="C38" s="219" t="s">
        <v>61</v>
      </c>
      <c r="D38" s="220">
        <v>0</v>
      </c>
      <c r="E38" s="220">
        <v>0.05</v>
      </c>
      <c r="F38" s="220">
        <v>0.1</v>
      </c>
      <c r="G38" s="220">
        <v>0.1</v>
      </c>
      <c r="H38" s="220">
        <v>0.1</v>
      </c>
      <c r="I38" s="220">
        <v>0.1</v>
      </c>
      <c r="J38" s="220">
        <v>0.1</v>
      </c>
      <c r="K38" s="220">
        <v>0.1</v>
      </c>
      <c r="L38" s="220">
        <v>0.1</v>
      </c>
      <c r="M38" s="220">
        <v>0.1</v>
      </c>
      <c r="N38" s="220">
        <v>0.1</v>
      </c>
      <c r="O38" s="220">
        <v>0.05</v>
      </c>
      <c r="P38" s="372">
        <f t="shared" ref="P38:P45" si="2">SUM(D38:O38)</f>
        <v>0.99999999999999989</v>
      </c>
      <c r="Q38" s="740" t="s">
        <v>1067</v>
      </c>
      <c r="R38" s="741"/>
      <c r="S38" s="741"/>
      <c r="T38" s="741"/>
      <c r="U38" s="741"/>
      <c r="V38" s="741"/>
      <c r="W38" s="741"/>
      <c r="X38" s="741"/>
      <c r="Y38" s="741"/>
      <c r="Z38" s="741"/>
      <c r="AA38" s="741"/>
      <c r="AB38" s="741"/>
      <c r="AC38" s="741"/>
      <c r="AD38" s="742"/>
      <c r="AE38" s="97"/>
      <c r="AG38" s="98"/>
      <c r="AH38" s="98"/>
      <c r="AI38" s="98"/>
      <c r="AJ38" s="98"/>
      <c r="AK38" s="98"/>
      <c r="AL38" s="98"/>
      <c r="AM38" s="98"/>
      <c r="AN38" s="98"/>
      <c r="AO38" s="98"/>
    </row>
    <row r="39" spans="1:41" ht="45.95" customHeight="1">
      <c r="A39" s="527"/>
      <c r="B39" s="706"/>
      <c r="C39" s="99" t="s">
        <v>65</v>
      </c>
      <c r="D39" s="100">
        <v>0</v>
      </c>
      <c r="E39" s="100"/>
      <c r="F39" s="100"/>
      <c r="G39" s="100"/>
      <c r="H39" s="100"/>
      <c r="I39" s="100"/>
      <c r="J39" s="100"/>
      <c r="K39" s="100"/>
      <c r="L39" s="100"/>
      <c r="M39" s="100"/>
      <c r="N39" s="100"/>
      <c r="O39" s="100"/>
      <c r="P39" s="373">
        <f t="shared" si="2"/>
        <v>0</v>
      </c>
      <c r="Q39" s="732"/>
      <c r="R39" s="733"/>
      <c r="S39" s="733"/>
      <c r="T39" s="733"/>
      <c r="U39" s="733"/>
      <c r="V39" s="733"/>
      <c r="W39" s="733"/>
      <c r="X39" s="733"/>
      <c r="Y39" s="733"/>
      <c r="Z39" s="733"/>
      <c r="AA39" s="733"/>
      <c r="AB39" s="733"/>
      <c r="AC39" s="733"/>
      <c r="AD39" s="734"/>
      <c r="AE39" s="97"/>
    </row>
    <row r="40" spans="1:41" ht="69.95" customHeight="1">
      <c r="A40" s="527" t="s">
        <v>99</v>
      </c>
      <c r="B40" s="704">
        <v>0.05</v>
      </c>
      <c r="C40" s="102" t="s">
        <v>61</v>
      </c>
      <c r="D40" s="103">
        <v>0</v>
      </c>
      <c r="E40" s="103">
        <v>0.1</v>
      </c>
      <c r="F40" s="103">
        <v>0.1</v>
      </c>
      <c r="G40" s="103">
        <v>0.1</v>
      </c>
      <c r="H40" s="103">
        <v>0.1</v>
      </c>
      <c r="I40" s="103">
        <v>0.1</v>
      </c>
      <c r="J40" s="103">
        <v>0.1</v>
      </c>
      <c r="K40" s="103">
        <v>0.1</v>
      </c>
      <c r="L40" s="103">
        <v>0.1</v>
      </c>
      <c r="M40" s="103">
        <v>0.1</v>
      </c>
      <c r="N40" s="103">
        <v>0.1</v>
      </c>
      <c r="O40" s="103">
        <v>0</v>
      </c>
      <c r="P40" s="373">
        <f t="shared" si="2"/>
        <v>0.99999999999999989</v>
      </c>
      <c r="Q40" s="732" t="s">
        <v>1068</v>
      </c>
      <c r="R40" s="733"/>
      <c r="S40" s="733"/>
      <c r="T40" s="733"/>
      <c r="U40" s="733"/>
      <c r="V40" s="733"/>
      <c r="W40" s="733"/>
      <c r="X40" s="733"/>
      <c r="Y40" s="733"/>
      <c r="Z40" s="733"/>
      <c r="AA40" s="733"/>
      <c r="AB40" s="733"/>
      <c r="AC40" s="733"/>
      <c r="AD40" s="734"/>
      <c r="AE40" s="97"/>
    </row>
    <row r="41" spans="1:41" ht="69.95" customHeight="1">
      <c r="A41" s="527"/>
      <c r="B41" s="706"/>
      <c r="C41" s="99" t="s">
        <v>65</v>
      </c>
      <c r="D41" s="100">
        <v>0</v>
      </c>
      <c r="E41" s="100"/>
      <c r="F41" s="100"/>
      <c r="G41" s="100"/>
      <c r="H41" s="100"/>
      <c r="I41" s="100"/>
      <c r="J41" s="100"/>
      <c r="K41" s="100"/>
      <c r="L41" s="100"/>
      <c r="M41" s="100"/>
      <c r="N41" s="100"/>
      <c r="O41" s="100"/>
      <c r="P41" s="373">
        <f t="shared" si="2"/>
        <v>0</v>
      </c>
      <c r="Q41" s="732"/>
      <c r="R41" s="733"/>
      <c r="S41" s="733"/>
      <c r="T41" s="733"/>
      <c r="U41" s="733"/>
      <c r="V41" s="733"/>
      <c r="W41" s="733"/>
      <c r="X41" s="733"/>
      <c r="Y41" s="733"/>
      <c r="Z41" s="733"/>
      <c r="AA41" s="733"/>
      <c r="AB41" s="733"/>
      <c r="AC41" s="733"/>
      <c r="AD41" s="734"/>
      <c r="AE41" s="97"/>
    </row>
    <row r="42" spans="1:41" ht="39.950000000000003" customHeight="1">
      <c r="A42" s="527" t="s">
        <v>100</v>
      </c>
      <c r="B42" s="704">
        <v>0.05</v>
      </c>
      <c r="C42" s="102" t="s">
        <v>61</v>
      </c>
      <c r="D42" s="103">
        <v>0</v>
      </c>
      <c r="E42" s="103">
        <v>0.05</v>
      </c>
      <c r="F42" s="103">
        <v>0.1</v>
      </c>
      <c r="G42" s="103">
        <v>0.1</v>
      </c>
      <c r="H42" s="103">
        <v>0.1</v>
      </c>
      <c r="I42" s="103">
        <v>0.1</v>
      </c>
      <c r="J42" s="103">
        <v>0.1</v>
      </c>
      <c r="K42" s="103">
        <v>0.1</v>
      </c>
      <c r="L42" s="103">
        <v>0.1</v>
      </c>
      <c r="M42" s="103">
        <v>0.1</v>
      </c>
      <c r="N42" s="103">
        <v>0.1</v>
      </c>
      <c r="O42" s="103">
        <v>0.05</v>
      </c>
      <c r="P42" s="373">
        <f>SUM(D42:O42)</f>
        <v>0.99999999999999989</v>
      </c>
      <c r="Q42" s="732" t="s">
        <v>1069</v>
      </c>
      <c r="R42" s="733"/>
      <c r="S42" s="733"/>
      <c r="T42" s="733"/>
      <c r="U42" s="733"/>
      <c r="V42" s="733"/>
      <c r="W42" s="733"/>
      <c r="X42" s="733"/>
      <c r="Y42" s="733"/>
      <c r="Z42" s="733"/>
      <c r="AA42" s="733"/>
      <c r="AB42" s="733"/>
      <c r="AC42" s="733"/>
      <c r="AD42" s="734"/>
      <c r="AE42" s="97"/>
    </row>
    <row r="43" spans="1:41" ht="39.950000000000003" customHeight="1" thickBot="1">
      <c r="A43" s="527"/>
      <c r="B43" s="706"/>
      <c r="C43" s="99" t="s">
        <v>65</v>
      </c>
      <c r="D43" s="100">
        <v>0</v>
      </c>
      <c r="E43" s="100"/>
      <c r="F43" s="100"/>
      <c r="G43" s="100"/>
      <c r="H43" s="100"/>
      <c r="I43" s="100"/>
      <c r="J43" s="100"/>
      <c r="K43" s="100"/>
      <c r="L43" s="100"/>
      <c r="M43" s="100"/>
      <c r="N43" s="100"/>
      <c r="O43" s="100"/>
      <c r="P43" s="373">
        <f>SUM(D43:O43)</f>
        <v>0</v>
      </c>
      <c r="Q43" s="735"/>
      <c r="R43" s="736"/>
      <c r="S43" s="736"/>
      <c r="T43" s="736"/>
      <c r="U43" s="736"/>
      <c r="V43" s="736"/>
      <c r="W43" s="736"/>
      <c r="X43" s="736"/>
      <c r="Y43" s="736"/>
      <c r="Z43" s="736"/>
      <c r="AA43" s="736"/>
      <c r="AB43" s="736"/>
      <c r="AC43" s="736"/>
      <c r="AD43" s="737"/>
      <c r="AE43" s="97"/>
    </row>
    <row r="44" spans="1:41" ht="37.5" customHeight="1">
      <c r="A44" s="527" t="s">
        <v>101</v>
      </c>
      <c r="B44" s="704">
        <v>0.04</v>
      </c>
      <c r="C44" s="102" t="s">
        <v>61</v>
      </c>
      <c r="D44" s="103">
        <v>0</v>
      </c>
      <c r="E44" s="103">
        <v>0</v>
      </c>
      <c r="F44" s="103">
        <v>0.1</v>
      </c>
      <c r="G44" s="103">
        <v>0.1</v>
      </c>
      <c r="H44" s="103">
        <v>0.1</v>
      </c>
      <c r="I44" s="103">
        <v>0.1</v>
      </c>
      <c r="J44" s="103">
        <v>0.1</v>
      </c>
      <c r="K44" s="103">
        <v>0.1</v>
      </c>
      <c r="L44" s="103">
        <v>0.1</v>
      </c>
      <c r="M44" s="103">
        <v>0.1</v>
      </c>
      <c r="N44" s="103">
        <v>0.1</v>
      </c>
      <c r="O44" s="103">
        <v>0.1</v>
      </c>
      <c r="P44" s="373">
        <f t="shared" si="2"/>
        <v>0.99999999999999989</v>
      </c>
      <c r="Q44" s="732" t="s">
        <v>1070</v>
      </c>
      <c r="R44" s="733"/>
      <c r="S44" s="733"/>
      <c r="T44" s="733"/>
      <c r="U44" s="733"/>
      <c r="V44" s="733"/>
      <c r="W44" s="733"/>
      <c r="X44" s="733"/>
      <c r="Y44" s="733"/>
      <c r="Z44" s="733"/>
      <c r="AA44" s="733"/>
      <c r="AB44" s="733"/>
      <c r="AC44" s="733"/>
      <c r="AD44" s="734"/>
      <c r="AE44" s="97"/>
    </row>
    <row r="45" spans="1:41" ht="37.5" customHeight="1">
      <c r="A45" s="527"/>
      <c r="B45" s="706"/>
      <c r="C45" s="99" t="s">
        <v>65</v>
      </c>
      <c r="D45" s="100">
        <v>0</v>
      </c>
      <c r="E45" s="100"/>
      <c r="F45" s="100"/>
      <c r="G45" s="100"/>
      <c r="H45" s="100"/>
      <c r="I45" s="100"/>
      <c r="J45" s="100"/>
      <c r="K45" s="100"/>
      <c r="L45" s="100"/>
      <c r="M45" s="100"/>
      <c r="N45" s="100"/>
      <c r="O45" s="100"/>
      <c r="P45" s="373">
        <f t="shared" si="2"/>
        <v>0</v>
      </c>
      <c r="Q45" s="732"/>
      <c r="R45" s="733"/>
      <c r="S45" s="733"/>
      <c r="T45" s="733"/>
      <c r="U45" s="733"/>
      <c r="V45" s="733"/>
      <c r="W45" s="733"/>
      <c r="X45" s="733"/>
      <c r="Y45" s="733"/>
      <c r="Z45" s="733"/>
      <c r="AA45" s="733"/>
      <c r="AB45" s="733"/>
      <c r="AC45" s="733"/>
      <c r="AD45" s="734"/>
      <c r="AE45" s="97"/>
    </row>
    <row r="46" spans="1:41" ht="35.25" customHeight="1">
      <c r="A46" s="527" t="s">
        <v>102</v>
      </c>
      <c r="B46" s="704">
        <v>0.04</v>
      </c>
      <c r="C46" s="102" t="s">
        <v>61</v>
      </c>
      <c r="D46" s="103">
        <v>0</v>
      </c>
      <c r="E46" s="103">
        <v>0.05</v>
      </c>
      <c r="F46" s="103">
        <v>0.1</v>
      </c>
      <c r="G46" s="103">
        <v>0.1</v>
      </c>
      <c r="H46" s="103">
        <v>0.1</v>
      </c>
      <c r="I46" s="103">
        <v>0.1</v>
      </c>
      <c r="J46" s="103">
        <v>0.1</v>
      </c>
      <c r="K46" s="103">
        <v>0.1</v>
      </c>
      <c r="L46" s="103">
        <v>0.1</v>
      </c>
      <c r="M46" s="103">
        <v>0.1</v>
      </c>
      <c r="N46" s="103">
        <v>0.1</v>
      </c>
      <c r="O46" s="103">
        <v>0.05</v>
      </c>
      <c r="P46" s="373">
        <f>SUM(D46:O46)</f>
        <v>0.99999999999999989</v>
      </c>
      <c r="Q46" s="726" t="s">
        <v>103</v>
      </c>
      <c r="R46" s="727"/>
      <c r="S46" s="727"/>
      <c r="T46" s="727"/>
      <c r="U46" s="727"/>
      <c r="V46" s="727"/>
      <c r="W46" s="727"/>
      <c r="X46" s="727"/>
      <c r="Y46" s="727"/>
      <c r="Z46" s="727"/>
      <c r="AA46" s="727"/>
      <c r="AB46" s="727"/>
      <c r="AC46" s="727"/>
      <c r="AD46" s="728"/>
      <c r="AE46" s="97"/>
      <c r="AF46" s="160" t="s">
        <v>1072</v>
      </c>
    </row>
    <row r="47" spans="1:41" ht="35.25" customHeight="1" thickBot="1">
      <c r="A47" s="528"/>
      <c r="B47" s="705"/>
      <c r="C47" s="91" t="s">
        <v>65</v>
      </c>
      <c r="D47" s="105">
        <v>0</v>
      </c>
      <c r="E47" s="105"/>
      <c r="F47" s="105"/>
      <c r="G47" s="105"/>
      <c r="H47" s="105"/>
      <c r="I47" s="105"/>
      <c r="J47" s="105"/>
      <c r="K47" s="105"/>
      <c r="L47" s="105"/>
      <c r="M47" s="105"/>
      <c r="N47" s="105"/>
      <c r="O47" s="105"/>
      <c r="P47" s="374">
        <f>SUM(D47:O47)</f>
        <v>0</v>
      </c>
      <c r="Q47" s="729"/>
      <c r="R47" s="730"/>
      <c r="S47" s="730"/>
      <c r="T47" s="730"/>
      <c r="U47" s="730"/>
      <c r="V47" s="730"/>
      <c r="W47" s="730"/>
      <c r="X47" s="730"/>
      <c r="Y47" s="730"/>
      <c r="Z47" s="730"/>
      <c r="AA47" s="730"/>
      <c r="AB47" s="730"/>
      <c r="AC47" s="730"/>
      <c r="AD47" s="731"/>
      <c r="AE47" s="97"/>
      <c r="AF47" s="72" t="s">
        <v>1093</v>
      </c>
    </row>
    <row r="48" spans="1:41">
      <c r="A48" s="50" t="s">
        <v>91</v>
      </c>
      <c r="AF48" s="484">
        <f>LEN(AF47)</f>
        <v>300</v>
      </c>
    </row>
    <row r="51" spans="1:51" s="204" customFormat="1" ht="21.75" customHeight="1">
      <c r="A51" s="703" t="s">
        <v>104</v>
      </c>
      <c r="B51" s="703" t="s">
        <v>67</v>
      </c>
      <c r="C51" s="743" t="s">
        <v>68</v>
      </c>
      <c r="D51" s="744"/>
      <c r="E51" s="744"/>
      <c r="F51" s="744"/>
      <c r="G51" s="744"/>
      <c r="H51" s="744"/>
      <c r="I51" s="744"/>
      <c r="J51" s="744"/>
      <c r="K51" s="744"/>
      <c r="L51" s="744"/>
      <c r="M51" s="744"/>
      <c r="N51" s="744"/>
      <c r="O51" s="744"/>
      <c r="P51" s="745"/>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3"/>
      <c r="AR51" s="203"/>
      <c r="AS51" s="203"/>
      <c r="AT51" s="203"/>
      <c r="AU51" s="203"/>
      <c r="AV51" s="203"/>
      <c r="AW51" s="203"/>
      <c r="AX51" s="203"/>
      <c r="AY51" s="203"/>
    </row>
    <row r="52" spans="1:51" s="204" customFormat="1" ht="21.75" customHeight="1">
      <c r="A52" s="702"/>
      <c r="B52" s="702"/>
      <c r="C52" s="205" t="s">
        <v>70</v>
      </c>
      <c r="D52" s="205" t="s">
        <v>71</v>
      </c>
      <c r="E52" s="205" t="s">
        <v>72</v>
      </c>
      <c r="F52" s="205" t="s">
        <v>73</v>
      </c>
      <c r="G52" s="205" t="s">
        <v>74</v>
      </c>
      <c r="H52" s="205" t="s">
        <v>75</v>
      </c>
      <c r="I52" s="205" t="s">
        <v>76</v>
      </c>
      <c r="J52" s="205" t="s">
        <v>77</v>
      </c>
      <c r="K52" s="205" t="s">
        <v>78</v>
      </c>
      <c r="L52" s="205" t="s">
        <v>79</v>
      </c>
      <c r="M52" s="205" t="s">
        <v>80</v>
      </c>
      <c r="N52" s="205" t="s">
        <v>81</v>
      </c>
      <c r="O52" s="205" t="s">
        <v>82</v>
      </c>
      <c r="P52" s="205" t="s">
        <v>83</v>
      </c>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203"/>
      <c r="AR52" s="203"/>
      <c r="AS52" s="203"/>
      <c r="AT52" s="203"/>
      <c r="AU52" s="203"/>
      <c r="AV52" s="203"/>
      <c r="AW52" s="203"/>
      <c r="AX52" s="203"/>
      <c r="AY52" s="203"/>
    </row>
    <row r="53" spans="1:51" s="204" customFormat="1" ht="12.75" customHeight="1">
      <c r="A53" s="701" t="str">
        <f>A38</f>
        <v>8. Implementar la ruta de divulgación y orientación para la formación y oferta de empleo y emprendimiento de mujeres diseñada en el marco de la estrategia de emprendimiento y empleabilidad.</v>
      </c>
      <c r="B53" s="701">
        <f>B38</f>
        <v>7.0000000000000007E-2</v>
      </c>
      <c r="C53" s="206" t="s">
        <v>61</v>
      </c>
      <c r="D53" s="375">
        <f>D38*$B$38/$P$38</f>
        <v>0</v>
      </c>
      <c r="E53" s="207">
        <f t="shared" ref="E53:O53" si="3">E38*$B$38/$P$38</f>
        <v>3.5000000000000009E-3</v>
      </c>
      <c r="F53" s="207">
        <f t="shared" si="3"/>
        <v>7.0000000000000019E-3</v>
      </c>
      <c r="G53" s="207">
        <f t="shared" si="3"/>
        <v>7.0000000000000019E-3</v>
      </c>
      <c r="H53" s="207">
        <f t="shared" si="3"/>
        <v>7.0000000000000019E-3</v>
      </c>
      <c r="I53" s="207">
        <f t="shared" si="3"/>
        <v>7.0000000000000019E-3</v>
      </c>
      <c r="J53" s="207">
        <f t="shared" si="3"/>
        <v>7.0000000000000019E-3</v>
      </c>
      <c r="K53" s="207">
        <f t="shared" si="3"/>
        <v>7.0000000000000019E-3</v>
      </c>
      <c r="L53" s="207">
        <f t="shared" si="3"/>
        <v>7.0000000000000019E-3</v>
      </c>
      <c r="M53" s="207">
        <f t="shared" si="3"/>
        <v>7.0000000000000019E-3</v>
      </c>
      <c r="N53" s="207">
        <f t="shared" si="3"/>
        <v>7.0000000000000019E-3</v>
      </c>
      <c r="O53" s="207">
        <f t="shared" si="3"/>
        <v>3.5000000000000009E-3</v>
      </c>
      <c r="P53" s="371">
        <f t="shared" ref="P53:P56" si="4">SUM(D53:O53)</f>
        <v>7.0000000000000007E-2</v>
      </c>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3"/>
      <c r="AR53" s="203"/>
      <c r="AS53" s="203"/>
      <c r="AT53" s="203"/>
      <c r="AU53" s="203"/>
      <c r="AV53" s="203"/>
      <c r="AW53" s="203"/>
      <c r="AX53" s="203"/>
      <c r="AY53" s="203"/>
    </row>
    <row r="54" spans="1:51" s="204" customFormat="1" ht="12.75" customHeight="1">
      <c r="A54" s="702"/>
      <c r="B54" s="702"/>
      <c r="C54" s="208" t="s">
        <v>65</v>
      </c>
      <c r="D54" s="209">
        <f>D38*$B$38/$P$38</f>
        <v>0</v>
      </c>
      <c r="E54" s="209">
        <f t="shared" ref="E54:O54" si="5">E39*$B$38/$P$38</f>
        <v>0</v>
      </c>
      <c r="F54" s="209">
        <f t="shared" si="5"/>
        <v>0</v>
      </c>
      <c r="G54" s="209">
        <f t="shared" si="5"/>
        <v>0</v>
      </c>
      <c r="H54" s="209">
        <f t="shared" si="5"/>
        <v>0</v>
      </c>
      <c r="I54" s="209">
        <f t="shared" si="5"/>
        <v>0</v>
      </c>
      <c r="J54" s="209">
        <f t="shared" si="5"/>
        <v>0</v>
      </c>
      <c r="K54" s="209">
        <f t="shared" si="5"/>
        <v>0</v>
      </c>
      <c r="L54" s="209">
        <f t="shared" si="5"/>
        <v>0</v>
      </c>
      <c r="M54" s="209">
        <f t="shared" si="5"/>
        <v>0</v>
      </c>
      <c r="N54" s="209">
        <f t="shared" si="5"/>
        <v>0</v>
      </c>
      <c r="O54" s="209">
        <f t="shared" si="5"/>
        <v>0</v>
      </c>
      <c r="P54" s="210">
        <f t="shared" si="4"/>
        <v>0</v>
      </c>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3"/>
      <c r="AR54" s="203"/>
      <c r="AS54" s="203"/>
      <c r="AT54" s="203"/>
      <c r="AU54" s="203"/>
      <c r="AV54" s="203"/>
      <c r="AW54" s="203"/>
      <c r="AX54" s="203"/>
      <c r="AY54" s="203"/>
    </row>
    <row r="55" spans="1:51" s="204" customFormat="1" ht="12.75" customHeight="1">
      <c r="A55" s="701" t="str">
        <f>+A40</f>
        <v>9. Gestionar y articular con el sector público y privado, acciones que contribuyan a la implementación del Decreto 332 del 29 de diciembre de 2020 "Por medio del cual se establecen medidas afirmativas para promover la participación de las mujeres en la Contratación del distritito Capital"</v>
      </c>
      <c r="B55" s="701">
        <f>B40</f>
        <v>0.05</v>
      </c>
      <c r="C55" s="206" t="s">
        <v>61</v>
      </c>
      <c r="D55" s="207">
        <f>D40*$B$40/$P$40</f>
        <v>0</v>
      </c>
      <c r="E55" s="207">
        <f t="shared" ref="E55:O55" si="6">E40*$B$40/$P$40</f>
        <v>5.0000000000000018E-3</v>
      </c>
      <c r="F55" s="207">
        <f t="shared" si="6"/>
        <v>5.0000000000000018E-3</v>
      </c>
      <c r="G55" s="207">
        <f t="shared" si="6"/>
        <v>5.0000000000000018E-3</v>
      </c>
      <c r="H55" s="207">
        <f t="shared" si="6"/>
        <v>5.0000000000000018E-3</v>
      </c>
      <c r="I55" s="207">
        <f t="shared" si="6"/>
        <v>5.0000000000000018E-3</v>
      </c>
      <c r="J55" s="207">
        <f t="shared" si="6"/>
        <v>5.0000000000000018E-3</v>
      </c>
      <c r="K55" s="207">
        <f t="shared" si="6"/>
        <v>5.0000000000000018E-3</v>
      </c>
      <c r="L55" s="207">
        <f t="shared" si="6"/>
        <v>5.0000000000000018E-3</v>
      </c>
      <c r="M55" s="207">
        <f t="shared" si="6"/>
        <v>5.0000000000000018E-3</v>
      </c>
      <c r="N55" s="207">
        <f t="shared" si="6"/>
        <v>5.0000000000000018E-3</v>
      </c>
      <c r="O55" s="207">
        <f t="shared" si="6"/>
        <v>0</v>
      </c>
      <c r="P55" s="371">
        <f t="shared" si="4"/>
        <v>5.0000000000000024E-2</v>
      </c>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07"/>
      <c r="AN55" s="207"/>
      <c r="AO55" s="207"/>
      <c r="AP55" s="207"/>
      <c r="AQ55" s="203"/>
      <c r="AR55" s="203"/>
      <c r="AS55" s="203"/>
      <c r="AT55" s="203"/>
      <c r="AU55" s="203"/>
      <c r="AV55" s="203"/>
      <c r="AW55" s="203"/>
      <c r="AX55" s="203"/>
      <c r="AY55" s="203"/>
    </row>
    <row r="56" spans="1:51" s="204" customFormat="1" ht="12.75" customHeight="1">
      <c r="A56" s="702"/>
      <c r="B56" s="702"/>
      <c r="C56" s="208" t="s">
        <v>65</v>
      </c>
      <c r="D56" s="209">
        <f t="shared" ref="D56" si="7">D41*$B$40/$P$40</f>
        <v>0</v>
      </c>
      <c r="E56" s="209">
        <f t="shared" ref="E56:O56" si="8">E41*$B$40/$P$40</f>
        <v>0</v>
      </c>
      <c r="F56" s="209">
        <f t="shared" si="8"/>
        <v>0</v>
      </c>
      <c r="G56" s="209">
        <f t="shared" si="8"/>
        <v>0</v>
      </c>
      <c r="H56" s="209">
        <f t="shared" si="8"/>
        <v>0</v>
      </c>
      <c r="I56" s="209">
        <f t="shared" si="8"/>
        <v>0</v>
      </c>
      <c r="J56" s="209">
        <f t="shared" si="8"/>
        <v>0</v>
      </c>
      <c r="K56" s="209">
        <f t="shared" si="8"/>
        <v>0</v>
      </c>
      <c r="L56" s="209">
        <f t="shared" si="8"/>
        <v>0</v>
      </c>
      <c r="M56" s="209">
        <f t="shared" si="8"/>
        <v>0</v>
      </c>
      <c r="N56" s="209">
        <f t="shared" si="8"/>
        <v>0</v>
      </c>
      <c r="O56" s="209">
        <f t="shared" si="8"/>
        <v>0</v>
      </c>
      <c r="P56" s="210">
        <f t="shared" si="4"/>
        <v>0</v>
      </c>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c r="AN56" s="207"/>
      <c r="AO56" s="207"/>
      <c r="AP56" s="207"/>
      <c r="AQ56" s="203"/>
      <c r="AR56" s="203"/>
      <c r="AS56" s="203"/>
      <c r="AT56" s="203"/>
      <c r="AU56" s="203"/>
      <c r="AV56" s="203"/>
      <c r="AW56" s="203"/>
      <c r="AX56" s="203"/>
      <c r="AY56" s="203"/>
    </row>
    <row r="57" spans="1:51" s="204" customFormat="1" ht="12.75" customHeight="1">
      <c r="A57" s="701" t="str">
        <f>A42</f>
        <v>10. Promover acciones que contribuyan a la generación de ingresos y empleo para las mujeres, conforme a la oferta de las diferentes entidades del distrito.</v>
      </c>
      <c r="B57" s="701">
        <f>B42</f>
        <v>0.05</v>
      </c>
      <c r="C57" s="206" t="s">
        <v>61</v>
      </c>
      <c r="D57" s="207">
        <f>D42*$B$42/$P$42</f>
        <v>0</v>
      </c>
      <c r="E57" s="207">
        <f t="shared" ref="E57:O57" si="9">E42*$B$42/$P$42</f>
        <v>2.5000000000000009E-3</v>
      </c>
      <c r="F57" s="207">
        <f t="shared" si="9"/>
        <v>5.0000000000000018E-3</v>
      </c>
      <c r="G57" s="207">
        <f t="shared" si="9"/>
        <v>5.0000000000000018E-3</v>
      </c>
      <c r="H57" s="207">
        <f t="shared" si="9"/>
        <v>5.0000000000000018E-3</v>
      </c>
      <c r="I57" s="207">
        <f t="shared" si="9"/>
        <v>5.0000000000000018E-3</v>
      </c>
      <c r="J57" s="207">
        <f t="shared" si="9"/>
        <v>5.0000000000000018E-3</v>
      </c>
      <c r="K57" s="207">
        <f t="shared" si="9"/>
        <v>5.0000000000000018E-3</v>
      </c>
      <c r="L57" s="207">
        <f t="shared" si="9"/>
        <v>5.0000000000000018E-3</v>
      </c>
      <c r="M57" s="207">
        <f t="shared" si="9"/>
        <v>5.0000000000000018E-3</v>
      </c>
      <c r="N57" s="207">
        <f t="shared" si="9"/>
        <v>5.0000000000000018E-3</v>
      </c>
      <c r="O57" s="207">
        <f t="shared" si="9"/>
        <v>2.5000000000000009E-3</v>
      </c>
      <c r="P57" s="371">
        <f t="shared" ref="P57:P60" si="10">SUM(D57:O57)</f>
        <v>5.0000000000000024E-2</v>
      </c>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7"/>
      <c r="AN57" s="207"/>
      <c r="AO57" s="207"/>
      <c r="AP57" s="207"/>
      <c r="AQ57" s="203"/>
      <c r="AR57" s="203"/>
      <c r="AS57" s="203"/>
      <c r="AT57" s="203"/>
      <c r="AU57" s="203"/>
      <c r="AV57" s="203"/>
      <c r="AW57" s="203"/>
      <c r="AX57" s="203"/>
      <c r="AY57" s="203"/>
    </row>
    <row r="58" spans="1:51" s="204" customFormat="1" ht="12.75" customHeight="1">
      <c r="A58" s="702"/>
      <c r="B58" s="702"/>
      <c r="C58" s="208" t="s">
        <v>65</v>
      </c>
      <c r="D58" s="209">
        <f>D43*$B$42/$P$42</f>
        <v>0</v>
      </c>
      <c r="E58" s="209">
        <f t="shared" ref="E58:O58" si="11">E43*$B$42/$P$42</f>
        <v>0</v>
      </c>
      <c r="F58" s="209">
        <f t="shared" si="11"/>
        <v>0</v>
      </c>
      <c r="G58" s="209">
        <f t="shared" si="11"/>
        <v>0</v>
      </c>
      <c r="H58" s="209">
        <f t="shared" si="11"/>
        <v>0</v>
      </c>
      <c r="I58" s="209">
        <f t="shared" si="11"/>
        <v>0</v>
      </c>
      <c r="J58" s="209">
        <f t="shared" si="11"/>
        <v>0</v>
      </c>
      <c r="K58" s="209">
        <f t="shared" si="11"/>
        <v>0</v>
      </c>
      <c r="L58" s="209">
        <f t="shared" si="11"/>
        <v>0</v>
      </c>
      <c r="M58" s="209">
        <f t="shared" si="11"/>
        <v>0</v>
      </c>
      <c r="N58" s="209">
        <f t="shared" si="11"/>
        <v>0</v>
      </c>
      <c r="O58" s="209">
        <f t="shared" si="11"/>
        <v>0</v>
      </c>
      <c r="P58" s="210">
        <f t="shared" si="10"/>
        <v>0</v>
      </c>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M58" s="207"/>
      <c r="AN58" s="207"/>
      <c r="AO58" s="207"/>
      <c r="AP58" s="207"/>
      <c r="AQ58" s="203"/>
      <c r="AR58" s="203"/>
      <c r="AS58" s="203"/>
      <c r="AT58" s="203"/>
      <c r="AU58" s="203"/>
      <c r="AV58" s="203"/>
      <c r="AW58" s="203"/>
      <c r="AX58" s="203"/>
      <c r="AY58" s="203"/>
    </row>
    <row r="59" spans="1:51" s="204" customFormat="1" ht="12.75" customHeight="1">
      <c r="A59" s="701" t="str">
        <f>A44</f>
        <v>11. Diseñar dos (2) programas que promuevan la autonomía económica de mujeres, en especial cuidadoras.</v>
      </c>
      <c r="B59" s="701">
        <f>B44</f>
        <v>0.04</v>
      </c>
      <c r="C59" s="206" t="s">
        <v>61</v>
      </c>
      <c r="D59" s="207">
        <f>D44*$B$44/$P$44</f>
        <v>0</v>
      </c>
      <c r="E59" s="207">
        <f t="shared" ref="E59:O59" si="12">E44*$B$44/$P$44</f>
        <v>0</v>
      </c>
      <c r="F59" s="207">
        <f t="shared" si="12"/>
        <v>4.000000000000001E-3</v>
      </c>
      <c r="G59" s="207">
        <f t="shared" si="12"/>
        <v>4.000000000000001E-3</v>
      </c>
      <c r="H59" s="207">
        <f t="shared" si="12"/>
        <v>4.000000000000001E-3</v>
      </c>
      <c r="I59" s="207">
        <f t="shared" si="12"/>
        <v>4.000000000000001E-3</v>
      </c>
      <c r="J59" s="207">
        <f t="shared" si="12"/>
        <v>4.000000000000001E-3</v>
      </c>
      <c r="K59" s="207">
        <f t="shared" si="12"/>
        <v>4.000000000000001E-3</v>
      </c>
      <c r="L59" s="207">
        <f t="shared" si="12"/>
        <v>4.000000000000001E-3</v>
      </c>
      <c r="M59" s="207">
        <f t="shared" si="12"/>
        <v>4.000000000000001E-3</v>
      </c>
      <c r="N59" s="207">
        <f t="shared" si="12"/>
        <v>4.000000000000001E-3</v>
      </c>
      <c r="O59" s="207">
        <f t="shared" si="12"/>
        <v>4.000000000000001E-3</v>
      </c>
      <c r="P59" s="371">
        <f t="shared" si="10"/>
        <v>4.0000000000000015E-2</v>
      </c>
      <c r="Q59" s="207"/>
      <c r="R59" s="207"/>
      <c r="S59" s="207"/>
      <c r="T59" s="207"/>
      <c r="U59" s="207"/>
      <c r="V59" s="207"/>
      <c r="W59" s="207"/>
      <c r="X59" s="207"/>
      <c r="Y59" s="207"/>
      <c r="Z59" s="207"/>
      <c r="AA59" s="207"/>
      <c r="AB59" s="207"/>
      <c r="AC59" s="207"/>
      <c r="AD59" s="207"/>
      <c r="AE59" s="207"/>
      <c r="AF59" s="207"/>
      <c r="AG59" s="207"/>
      <c r="AH59" s="207"/>
      <c r="AI59" s="207"/>
      <c r="AJ59" s="207"/>
      <c r="AK59" s="207"/>
      <c r="AL59" s="207"/>
      <c r="AM59" s="207"/>
      <c r="AN59" s="207"/>
      <c r="AO59" s="207"/>
      <c r="AP59" s="207"/>
      <c r="AQ59" s="203"/>
      <c r="AR59" s="203"/>
      <c r="AS59" s="203"/>
      <c r="AT59" s="203"/>
      <c r="AU59" s="203"/>
      <c r="AV59" s="203"/>
      <c r="AW59" s="203"/>
      <c r="AX59" s="203"/>
      <c r="AY59" s="203"/>
    </row>
    <row r="60" spans="1:51" s="204" customFormat="1" ht="12.75" customHeight="1">
      <c r="A60" s="702"/>
      <c r="B60" s="702"/>
      <c r="C60" s="208" t="s">
        <v>65</v>
      </c>
      <c r="D60" s="209">
        <f>D45*$B$44/$P$44</f>
        <v>0</v>
      </c>
      <c r="E60" s="209">
        <f t="shared" ref="E60:O60" si="13">E45*$B$44/$P$44</f>
        <v>0</v>
      </c>
      <c r="F60" s="209">
        <f t="shared" si="13"/>
        <v>0</v>
      </c>
      <c r="G60" s="209">
        <f t="shared" si="13"/>
        <v>0</v>
      </c>
      <c r="H60" s="209">
        <f t="shared" si="13"/>
        <v>0</v>
      </c>
      <c r="I60" s="209">
        <f t="shared" si="13"/>
        <v>0</v>
      </c>
      <c r="J60" s="209">
        <f t="shared" si="13"/>
        <v>0</v>
      </c>
      <c r="K60" s="209">
        <f t="shared" si="13"/>
        <v>0</v>
      </c>
      <c r="L60" s="209">
        <f t="shared" si="13"/>
        <v>0</v>
      </c>
      <c r="M60" s="209">
        <f t="shared" si="13"/>
        <v>0</v>
      </c>
      <c r="N60" s="209">
        <f t="shared" si="13"/>
        <v>0</v>
      </c>
      <c r="O60" s="209">
        <f t="shared" si="13"/>
        <v>0</v>
      </c>
      <c r="P60" s="210">
        <f t="shared" si="10"/>
        <v>0</v>
      </c>
      <c r="Q60" s="207"/>
      <c r="R60" s="207"/>
      <c r="S60" s="207"/>
      <c r="T60" s="207"/>
      <c r="U60" s="207"/>
      <c r="V60" s="207"/>
      <c r="W60" s="207"/>
      <c r="X60" s="207"/>
      <c r="Y60" s="207"/>
      <c r="Z60" s="207"/>
      <c r="AA60" s="207"/>
      <c r="AB60" s="207"/>
      <c r="AC60" s="207"/>
      <c r="AD60" s="207"/>
      <c r="AE60" s="207"/>
      <c r="AF60" s="207"/>
      <c r="AG60" s="207"/>
      <c r="AH60" s="207"/>
      <c r="AI60" s="207"/>
      <c r="AJ60" s="207"/>
      <c r="AK60" s="207"/>
      <c r="AL60" s="207"/>
      <c r="AM60" s="207"/>
      <c r="AN60" s="207"/>
      <c r="AO60" s="207"/>
      <c r="AP60" s="207"/>
      <c r="AQ60" s="203"/>
      <c r="AR60" s="203"/>
      <c r="AS60" s="203"/>
      <c r="AT60" s="203"/>
      <c r="AU60" s="203"/>
      <c r="AV60" s="203"/>
      <c r="AW60" s="203"/>
      <c r="AX60" s="203"/>
      <c r="AY60" s="203"/>
    </row>
    <row r="61" spans="1:51" s="204" customFormat="1" ht="12.75" customHeight="1">
      <c r="A61" s="701" t="str">
        <f>+A46</f>
        <v xml:space="preserve">12. Generar y desarrollar alianzas estratégicas que contribuyan a la implementación de la estrategia de emprendimiento y empleabilidad. </v>
      </c>
      <c r="B61" s="701">
        <f>B46</f>
        <v>0.04</v>
      </c>
      <c r="C61" s="206" t="s">
        <v>61</v>
      </c>
      <c r="D61" s="207">
        <f>D46*$B$46/$P$46</f>
        <v>0</v>
      </c>
      <c r="E61" s="207">
        <f t="shared" ref="E61:O61" si="14">E46*$B$46/$P$46</f>
        <v>2.0000000000000005E-3</v>
      </c>
      <c r="F61" s="207">
        <f t="shared" si="14"/>
        <v>4.000000000000001E-3</v>
      </c>
      <c r="G61" s="207">
        <f t="shared" si="14"/>
        <v>4.000000000000001E-3</v>
      </c>
      <c r="H61" s="207">
        <f t="shared" si="14"/>
        <v>4.000000000000001E-3</v>
      </c>
      <c r="I61" s="207">
        <f t="shared" si="14"/>
        <v>4.000000000000001E-3</v>
      </c>
      <c r="J61" s="207">
        <f t="shared" si="14"/>
        <v>4.000000000000001E-3</v>
      </c>
      <c r="K61" s="207">
        <f t="shared" si="14"/>
        <v>4.000000000000001E-3</v>
      </c>
      <c r="L61" s="207">
        <f t="shared" si="14"/>
        <v>4.000000000000001E-3</v>
      </c>
      <c r="M61" s="207">
        <f t="shared" si="14"/>
        <v>4.000000000000001E-3</v>
      </c>
      <c r="N61" s="207">
        <f t="shared" si="14"/>
        <v>4.000000000000001E-3</v>
      </c>
      <c r="O61" s="207">
        <f t="shared" si="14"/>
        <v>2.0000000000000005E-3</v>
      </c>
      <c r="P61" s="371">
        <f t="shared" ref="P61:P62" si="15">SUM(D61:O61)</f>
        <v>4.0000000000000008E-2</v>
      </c>
      <c r="Q61" s="207"/>
      <c r="R61" s="207"/>
      <c r="S61" s="207"/>
      <c r="T61" s="207"/>
      <c r="U61" s="207"/>
      <c r="V61" s="207"/>
      <c r="W61" s="207"/>
      <c r="X61" s="207"/>
      <c r="Y61" s="207"/>
      <c r="Z61" s="207"/>
      <c r="AA61" s="207"/>
      <c r="AB61" s="207"/>
      <c r="AC61" s="207"/>
      <c r="AD61" s="207"/>
      <c r="AE61" s="207"/>
      <c r="AF61" s="207"/>
      <c r="AG61" s="207"/>
      <c r="AH61" s="207"/>
      <c r="AI61" s="207"/>
      <c r="AJ61" s="207"/>
      <c r="AK61" s="207"/>
      <c r="AL61" s="207"/>
      <c r="AM61" s="207"/>
      <c r="AN61" s="207"/>
      <c r="AO61" s="207"/>
      <c r="AP61" s="207"/>
      <c r="AQ61" s="203"/>
      <c r="AR61" s="203"/>
      <c r="AS61" s="203"/>
      <c r="AT61" s="203"/>
      <c r="AU61" s="203"/>
      <c r="AV61" s="203"/>
      <c r="AW61" s="203"/>
      <c r="AX61" s="203"/>
      <c r="AY61" s="203"/>
    </row>
    <row r="62" spans="1:51" s="204" customFormat="1" ht="12.75" customHeight="1">
      <c r="A62" s="702"/>
      <c r="B62" s="702"/>
      <c r="C62" s="208" t="s">
        <v>65</v>
      </c>
      <c r="D62" s="209">
        <f>D47*$B$46/$P$46</f>
        <v>0</v>
      </c>
      <c r="E62" s="209">
        <f t="shared" ref="E62:O62" si="16">E47*$B$46/$P$46</f>
        <v>0</v>
      </c>
      <c r="F62" s="209">
        <f t="shared" si="16"/>
        <v>0</v>
      </c>
      <c r="G62" s="209">
        <f t="shared" si="16"/>
        <v>0</v>
      </c>
      <c r="H62" s="209">
        <f t="shared" si="16"/>
        <v>0</v>
      </c>
      <c r="I62" s="209">
        <f t="shared" si="16"/>
        <v>0</v>
      </c>
      <c r="J62" s="209">
        <f t="shared" si="16"/>
        <v>0</v>
      </c>
      <c r="K62" s="209">
        <f t="shared" si="16"/>
        <v>0</v>
      </c>
      <c r="L62" s="209">
        <f t="shared" si="16"/>
        <v>0</v>
      </c>
      <c r="M62" s="209">
        <f t="shared" si="16"/>
        <v>0</v>
      </c>
      <c r="N62" s="209">
        <f t="shared" si="16"/>
        <v>0</v>
      </c>
      <c r="O62" s="209">
        <f t="shared" si="16"/>
        <v>0</v>
      </c>
      <c r="P62" s="210">
        <f t="shared" si="15"/>
        <v>0</v>
      </c>
      <c r="Q62" s="207"/>
      <c r="R62" s="207"/>
      <c r="S62" s="207"/>
      <c r="T62" s="207"/>
      <c r="U62" s="207"/>
      <c r="V62" s="207"/>
      <c r="W62" s="207"/>
      <c r="X62" s="207"/>
      <c r="Y62" s="207"/>
      <c r="Z62" s="207"/>
      <c r="AA62" s="207"/>
      <c r="AB62" s="207"/>
      <c r="AC62" s="207"/>
      <c r="AD62" s="207"/>
      <c r="AE62" s="207"/>
      <c r="AF62" s="207"/>
      <c r="AG62" s="207"/>
      <c r="AH62" s="207"/>
      <c r="AI62" s="207"/>
      <c r="AJ62" s="207"/>
      <c r="AK62" s="207"/>
      <c r="AL62" s="207"/>
      <c r="AM62" s="207"/>
      <c r="AN62" s="207"/>
      <c r="AO62" s="207"/>
      <c r="AP62" s="207"/>
      <c r="AQ62" s="203"/>
      <c r="AR62" s="203"/>
      <c r="AS62" s="203"/>
      <c r="AT62" s="203"/>
      <c r="AU62" s="203"/>
      <c r="AV62" s="203"/>
      <c r="AW62" s="203"/>
      <c r="AX62" s="203"/>
      <c r="AY62" s="203"/>
    </row>
    <row r="63" spans="1:51" s="204" customFormat="1" ht="15.75" customHeight="1">
      <c r="A63" s="207"/>
      <c r="B63" s="207"/>
      <c r="C63" s="211"/>
      <c r="D63" s="212">
        <f>D54+D56+D58+D60+D62</f>
        <v>0</v>
      </c>
      <c r="E63" s="212">
        <f t="shared" ref="E63:O63" si="17">E54+E56+E58+E60+E62</f>
        <v>0</v>
      </c>
      <c r="F63" s="212">
        <f t="shared" si="17"/>
        <v>0</v>
      </c>
      <c r="G63" s="212">
        <f t="shared" si="17"/>
        <v>0</v>
      </c>
      <c r="H63" s="212">
        <f t="shared" si="17"/>
        <v>0</v>
      </c>
      <c r="I63" s="212">
        <f t="shared" si="17"/>
        <v>0</v>
      </c>
      <c r="J63" s="212">
        <f t="shared" si="17"/>
        <v>0</v>
      </c>
      <c r="K63" s="212">
        <f t="shared" si="17"/>
        <v>0</v>
      </c>
      <c r="L63" s="212">
        <f t="shared" si="17"/>
        <v>0</v>
      </c>
      <c r="M63" s="212">
        <f t="shared" si="17"/>
        <v>0</v>
      </c>
      <c r="N63" s="212">
        <f t="shared" si="17"/>
        <v>0</v>
      </c>
      <c r="O63" s="212">
        <f t="shared" si="17"/>
        <v>0</v>
      </c>
      <c r="P63" s="212">
        <f>P54+P56+P58+P60+P62</f>
        <v>0</v>
      </c>
      <c r="Q63" s="207"/>
      <c r="R63" s="207"/>
      <c r="S63" s="207"/>
      <c r="T63" s="207"/>
      <c r="U63" s="207"/>
      <c r="V63" s="207"/>
      <c r="W63" s="207"/>
      <c r="X63" s="207"/>
      <c r="Y63" s="207"/>
      <c r="Z63" s="207"/>
      <c r="AA63" s="207"/>
      <c r="AB63" s="207"/>
      <c r="AC63" s="207"/>
      <c r="AD63" s="207"/>
      <c r="AE63" s="207"/>
      <c r="AF63" s="207"/>
      <c r="AG63" s="207"/>
      <c r="AH63" s="207"/>
      <c r="AI63" s="207"/>
      <c r="AJ63" s="207"/>
      <c r="AK63" s="207"/>
      <c r="AL63" s="207"/>
      <c r="AM63" s="207"/>
      <c r="AN63" s="207"/>
      <c r="AO63" s="207"/>
      <c r="AP63" s="207"/>
      <c r="AQ63" s="203"/>
      <c r="AR63" s="203"/>
      <c r="AS63" s="203"/>
      <c r="AT63" s="203"/>
      <c r="AU63" s="203"/>
      <c r="AV63" s="203"/>
      <c r="AW63" s="203"/>
      <c r="AX63" s="203"/>
      <c r="AY63" s="203"/>
    </row>
    <row r="64" spans="1:51" s="438" customFormat="1" ht="15.75" customHeight="1">
      <c r="A64" s="217"/>
      <c r="B64" s="217"/>
      <c r="C64" s="435" t="s">
        <v>65</v>
      </c>
      <c r="D64" s="436">
        <f>D63*$W$17/$B$34</f>
        <v>0</v>
      </c>
      <c r="E64" s="436">
        <f t="shared" ref="E64:O64" si="18">E63*$W$17/$B$34</f>
        <v>0</v>
      </c>
      <c r="F64" s="436">
        <f t="shared" si="18"/>
        <v>0</v>
      </c>
      <c r="G64" s="436">
        <f t="shared" si="18"/>
        <v>0</v>
      </c>
      <c r="H64" s="436">
        <f t="shared" si="18"/>
        <v>0</v>
      </c>
      <c r="I64" s="436">
        <f t="shared" si="18"/>
        <v>0</v>
      </c>
      <c r="J64" s="436">
        <f t="shared" si="18"/>
        <v>0</v>
      </c>
      <c r="K64" s="436">
        <f t="shared" si="18"/>
        <v>0</v>
      </c>
      <c r="L64" s="436">
        <f t="shared" si="18"/>
        <v>0</v>
      </c>
      <c r="M64" s="436">
        <f t="shared" si="18"/>
        <v>0</v>
      </c>
      <c r="N64" s="436">
        <f t="shared" si="18"/>
        <v>0</v>
      </c>
      <c r="O64" s="436">
        <f t="shared" si="18"/>
        <v>0</v>
      </c>
      <c r="P64" s="437">
        <f>SUM(D64:O64)</f>
        <v>0</v>
      </c>
      <c r="Q64" s="216"/>
      <c r="R64" s="217"/>
      <c r="S64" s="217"/>
      <c r="T64" s="217"/>
      <c r="U64" s="217"/>
      <c r="V64" s="217"/>
      <c r="W64" s="217"/>
      <c r="X64" s="217"/>
      <c r="Y64" s="217"/>
      <c r="Z64" s="217"/>
      <c r="AA64" s="217"/>
      <c r="AB64" s="217"/>
      <c r="AC64" s="217"/>
      <c r="AD64" s="217"/>
      <c r="AE64" s="217"/>
      <c r="AF64" s="217"/>
      <c r="AG64" s="217"/>
      <c r="AH64" s="217"/>
      <c r="AI64" s="217"/>
      <c r="AJ64" s="217"/>
      <c r="AK64" s="217"/>
      <c r="AL64" s="217"/>
      <c r="AM64" s="217"/>
      <c r="AN64" s="217"/>
      <c r="AO64" s="217"/>
      <c r="AP64" s="217"/>
      <c r="AQ64" s="217"/>
      <c r="AR64" s="217"/>
      <c r="AS64" s="217"/>
      <c r="AT64" s="217"/>
      <c r="AU64" s="217"/>
      <c r="AV64" s="217"/>
      <c r="AW64" s="217"/>
      <c r="AX64" s="217"/>
      <c r="AY64" s="217"/>
    </row>
    <row r="65" spans="1:51" s="438" customFormat="1" ht="13.5" customHeight="1">
      <c r="A65" s="216"/>
      <c r="B65" s="216"/>
      <c r="C65" s="216"/>
      <c r="D65" s="216"/>
      <c r="E65" s="216"/>
      <c r="F65" s="216"/>
      <c r="G65" s="216"/>
      <c r="H65" s="216"/>
      <c r="I65" s="216"/>
      <c r="J65" s="216"/>
      <c r="K65" s="216"/>
      <c r="L65" s="216"/>
      <c r="M65" s="216"/>
      <c r="N65" s="216"/>
      <c r="O65" s="216"/>
      <c r="P65" s="216"/>
      <c r="Q65" s="216"/>
      <c r="R65" s="216"/>
      <c r="S65" s="216"/>
      <c r="T65" s="216"/>
      <c r="U65" s="216"/>
      <c r="V65" s="216"/>
      <c r="W65" s="216"/>
      <c r="X65" s="216"/>
      <c r="Y65" s="216"/>
      <c r="Z65" s="216"/>
      <c r="AA65" s="216"/>
      <c r="AB65" s="216"/>
      <c r="AC65" s="216"/>
      <c r="AD65" s="217"/>
      <c r="AE65" s="217"/>
      <c r="AF65" s="217"/>
      <c r="AG65" s="217"/>
      <c r="AH65" s="217"/>
      <c r="AI65" s="217"/>
      <c r="AJ65" s="217"/>
      <c r="AK65" s="217"/>
      <c r="AL65" s="217"/>
      <c r="AM65" s="217"/>
      <c r="AN65" s="217"/>
      <c r="AO65" s="217"/>
      <c r="AP65" s="217"/>
      <c r="AQ65" s="217"/>
      <c r="AR65" s="217"/>
      <c r="AS65" s="217"/>
      <c r="AT65" s="217"/>
      <c r="AU65" s="217"/>
      <c r="AV65" s="217"/>
      <c r="AW65" s="217"/>
      <c r="AX65" s="217"/>
      <c r="AY65" s="217"/>
    </row>
    <row r="66" spans="1:51" s="108" customFormat="1">
      <c r="D66" s="439">
        <f>D53+D55+D57+D59+D61</f>
        <v>0</v>
      </c>
      <c r="E66" s="439">
        <f t="shared" ref="E66:O66" si="19">E53+E55+E57+E59+E61</f>
        <v>1.3000000000000003E-2</v>
      </c>
      <c r="F66" s="439">
        <f t="shared" si="19"/>
        <v>2.5000000000000005E-2</v>
      </c>
      <c r="G66" s="439">
        <f t="shared" si="19"/>
        <v>2.5000000000000005E-2</v>
      </c>
      <c r="H66" s="439">
        <f t="shared" si="19"/>
        <v>2.5000000000000005E-2</v>
      </c>
      <c r="I66" s="439">
        <f t="shared" si="19"/>
        <v>2.5000000000000005E-2</v>
      </c>
      <c r="J66" s="439">
        <f t="shared" si="19"/>
        <v>2.5000000000000005E-2</v>
      </c>
      <c r="K66" s="439">
        <f t="shared" si="19"/>
        <v>2.5000000000000005E-2</v>
      </c>
      <c r="L66" s="439">
        <f t="shared" si="19"/>
        <v>2.5000000000000005E-2</v>
      </c>
      <c r="M66" s="439">
        <f t="shared" si="19"/>
        <v>2.5000000000000005E-2</v>
      </c>
      <c r="N66" s="439">
        <f t="shared" si="19"/>
        <v>2.5000000000000005E-2</v>
      </c>
      <c r="O66" s="439">
        <f t="shared" si="19"/>
        <v>1.2000000000000002E-2</v>
      </c>
      <c r="P66" s="439">
        <f>SUM(D66:O66)</f>
        <v>0.25</v>
      </c>
    </row>
    <row r="67" spans="1:51" s="438" customFormat="1" ht="15.75" customHeight="1">
      <c r="A67" s="217"/>
      <c r="B67" s="217"/>
      <c r="C67" s="435" t="s">
        <v>61</v>
      </c>
      <c r="D67" s="436">
        <f>D66*$W$17/$B$34</f>
        <v>0</v>
      </c>
      <c r="E67" s="436">
        <f t="shared" ref="E67:O67" si="20">E66*$W$17/$B$34</f>
        <v>1.0400000000000003E-2</v>
      </c>
      <c r="F67" s="436">
        <f t="shared" si="20"/>
        <v>2.0000000000000004E-2</v>
      </c>
      <c r="G67" s="436">
        <f t="shared" si="20"/>
        <v>2.0000000000000004E-2</v>
      </c>
      <c r="H67" s="436">
        <f t="shared" si="20"/>
        <v>2.0000000000000004E-2</v>
      </c>
      <c r="I67" s="436">
        <f t="shared" si="20"/>
        <v>2.0000000000000004E-2</v>
      </c>
      <c r="J67" s="436">
        <f t="shared" si="20"/>
        <v>2.0000000000000004E-2</v>
      </c>
      <c r="K67" s="436">
        <f t="shared" si="20"/>
        <v>2.0000000000000004E-2</v>
      </c>
      <c r="L67" s="436">
        <f t="shared" si="20"/>
        <v>2.0000000000000004E-2</v>
      </c>
      <c r="M67" s="436">
        <f t="shared" si="20"/>
        <v>2.0000000000000004E-2</v>
      </c>
      <c r="N67" s="436">
        <f t="shared" si="20"/>
        <v>2.0000000000000004E-2</v>
      </c>
      <c r="O67" s="436">
        <f t="shared" si="20"/>
        <v>9.6000000000000026E-3</v>
      </c>
      <c r="P67" s="437">
        <f>SUM(D67:O67)</f>
        <v>0.20000000000000007</v>
      </c>
      <c r="Q67" s="216"/>
      <c r="R67" s="217"/>
      <c r="S67" s="217"/>
      <c r="T67" s="217"/>
      <c r="U67" s="217"/>
      <c r="V67" s="217"/>
      <c r="W67" s="217"/>
      <c r="X67" s="217"/>
      <c r="Y67" s="217"/>
      <c r="Z67" s="217"/>
      <c r="AA67" s="217"/>
      <c r="AB67" s="217"/>
      <c r="AC67" s="217"/>
      <c r="AD67" s="217"/>
      <c r="AE67" s="217"/>
      <c r="AF67" s="217"/>
      <c r="AG67" s="217"/>
      <c r="AH67" s="217"/>
      <c r="AI67" s="217"/>
      <c r="AJ67" s="217"/>
      <c r="AK67" s="217"/>
      <c r="AL67" s="217"/>
      <c r="AM67" s="217"/>
      <c r="AN67" s="217"/>
      <c r="AO67" s="217"/>
      <c r="AP67" s="217"/>
      <c r="AQ67" s="217"/>
      <c r="AR67" s="217"/>
      <c r="AS67" s="217"/>
      <c r="AT67" s="217"/>
      <c r="AU67" s="217"/>
      <c r="AV67" s="217"/>
      <c r="AW67" s="217"/>
      <c r="AX67" s="217"/>
      <c r="AY67" s="217"/>
    </row>
  </sheetData>
  <mergeCells count="96">
    <mergeCell ref="Q46:AD47"/>
    <mergeCell ref="Q42:AD43"/>
    <mergeCell ref="A61:A62"/>
    <mergeCell ref="B61:B62"/>
    <mergeCell ref="A38:A39"/>
    <mergeCell ref="B38:B39"/>
    <mergeCell ref="Q38:AD39"/>
    <mergeCell ref="A44:A45"/>
    <mergeCell ref="B44:B45"/>
    <mergeCell ref="Q44:AD45"/>
    <mergeCell ref="A40:A41"/>
    <mergeCell ref="B40:B41"/>
    <mergeCell ref="Q40:AD41"/>
    <mergeCell ref="C51:P51"/>
    <mergeCell ref="A59:A60"/>
    <mergeCell ref="B59:B60"/>
    <mergeCell ref="A36:A37"/>
    <mergeCell ref="B36:B37"/>
    <mergeCell ref="C36:P36"/>
    <mergeCell ref="Q36:AD36"/>
    <mergeCell ref="Q37:AD37"/>
    <mergeCell ref="A34:A35"/>
    <mergeCell ref="B34:B35"/>
    <mergeCell ref="Q34:V35"/>
    <mergeCell ref="W34:Z35"/>
    <mergeCell ref="AA34:AD35"/>
    <mergeCell ref="B30:C30"/>
    <mergeCell ref="Q30:AD30"/>
    <mergeCell ref="A31:AD31"/>
    <mergeCell ref="A32:A33"/>
    <mergeCell ref="B32:B33"/>
    <mergeCell ref="C32:C33"/>
    <mergeCell ref="D32:P32"/>
    <mergeCell ref="Q32:AD32"/>
    <mergeCell ref="Q33:V33"/>
    <mergeCell ref="W33:Z33"/>
    <mergeCell ref="AA33:AD33"/>
    <mergeCell ref="A28:A29"/>
    <mergeCell ref="B28:C29"/>
    <mergeCell ref="D28:O28"/>
    <mergeCell ref="P28:P29"/>
    <mergeCell ref="Q28:AD29"/>
    <mergeCell ref="A22:B22"/>
    <mergeCell ref="A23:B23"/>
    <mergeCell ref="A24:B24"/>
    <mergeCell ref="A25:B25"/>
    <mergeCell ref="A27:AD27"/>
    <mergeCell ref="A11:B13"/>
    <mergeCell ref="C11:AD13"/>
    <mergeCell ref="A7:B9"/>
    <mergeCell ref="C7:C9"/>
    <mergeCell ref="D7:H9"/>
    <mergeCell ref="I7:J9"/>
    <mergeCell ref="K7:L9"/>
    <mergeCell ref="M7:N7"/>
    <mergeCell ref="O7:P7"/>
    <mergeCell ref="M8:N8"/>
    <mergeCell ref="O8:P8"/>
    <mergeCell ref="M9:N9"/>
    <mergeCell ref="O9:P9"/>
    <mergeCell ref="A1:A4"/>
    <mergeCell ref="B1:AA1"/>
    <mergeCell ref="AB1:AD1"/>
    <mergeCell ref="B2:AA2"/>
    <mergeCell ref="AB2:AD2"/>
    <mergeCell ref="B3:AA4"/>
    <mergeCell ref="AB3:AD3"/>
    <mergeCell ref="AB4:AD4"/>
    <mergeCell ref="AA15:AD15"/>
    <mergeCell ref="C16:AB16"/>
    <mergeCell ref="AC17:AD17"/>
    <mergeCell ref="A19:AD19"/>
    <mergeCell ref="C20:P20"/>
    <mergeCell ref="Q20:AD20"/>
    <mergeCell ref="A17:B17"/>
    <mergeCell ref="C17:Q17"/>
    <mergeCell ref="R17:V17"/>
    <mergeCell ref="W17:X17"/>
    <mergeCell ref="Y17:AB17"/>
    <mergeCell ref="A15:B15"/>
    <mergeCell ref="C15:K15"/>
    <mergeCell ref="L15:Q15"/>
    <mergeCell ref="R15:X15"/>
    <mergeCell ref="Y15:Z15"/>
    <mergeCell ref="A42:A43"/>
    <mergeCell ref="B42:B43"/>
    <mergeCell ref="A53:A54"/>
    <mergeCell ref="B53:B54"/>
    <mergeCell ref="A55:A56"/>
    <mergeCell ref="B55:B56"/>
    <mergeCell ref="A57:A58"/>
    <mergeCell ref="B57:B58"/>
    <mergeCell ref="A51:A52"/>
    <mergeCell ref="B51:B52"/>
    <mergeCell ref="A46:A47"/>
    <mergeCell ref="B46:B47"/>
  </mergeCells>
  <dataValidations count="3">
    <dataValidation type="textLength" operator="lessThanOrEqual" allowBlank="1" showInputMessage="1" showErrorMessage="1" errorTitle="Máximo 2.000 caracteres" error="Máximo 2.000 caracteres" sqref="AA34 Q34 W34 Q38:AD47"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CDC6C791-51FD-4403-8545-29BDFE04B2E8}">
      <formula1>2000</formula1>
    </dataValidation>
    <dataValidation type="list" allowBlank="1" showInputMessage="1" showErrorMessage="1" sqref="C7:C9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WVK7:WVK9" xr:uid="{D19E3A7A-625A-4028-A70C-DF4B4E8F8D3F}">
      <formula1>$C$21:$N$21</formula1>
    </dataValidation>
  </dataValidations>
  <printOptions horizontalCentered="1"/>
  <pageMargins left="0.19685039370078741" right="0.19685039370078741" top="0.19685039370078741" bottom="0.19685039370078741" header="0" footer="0"/>
  <pageSetup scale="22"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Y62"/>
  <sheetViews>
    <sheetView showGridLines="0" view="pageBreakPreview" topLeftCell="Q18" zoomScale="70" zoomScaleNormal="75" zoomScaleSheetLayoutView="70" workbookViewId="0">
      <selection activeCell="V26" sqref="V26"/>
    </sheetView>
  </sheetViews>
  <sheetFormatPr baseColWidth="10" defaultColWidth="10.85546875" defaultRowHeight="1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c r="A1" s="638"/>
      <c r="B1" s="641" t="s">
        <v>0</v>
      </c>
      <c r="C1" s="642"/>
      <c r="D1" s="642"/>
      <c r="E1" s="642"/>
      <c r="F1" s="642"/>
      <c r="G1" s="642"/>
      <c r="H1" s="642"/>
      <c r="I1" s="642"/>
      <c r="J1" s="642"/>
      <c r="K1" s="642"/>
      <c r="L1" s="642"/>
      <c r="M1" s="642"/>
      <c r="N1" s="642"/>
      <c r="O1" s="642"/>
      <c r="P1" s="642"/>
      <c r="Q1" s="642"/>
      <c r="R1" s="642"/>
      <c r="S1" s="642"/>
      <c r="T1" s="642"/>
      <c r="U1" s="642"/>
      <c r="V1" s="642"/>
      <c r="W1" s="642"/>
      <c r="X1" s="642"/>
      <c r="Y1" s="642"/>
      <c r="Z1" s="642"/>
      <c r="AA1" s="643"/>
      <c r="AB1" s="659" t="s">
        <v>1</v>
      </c>
      <c r="AC1" s="660"/>
      <c r="AD1" s="661"/>
    </row>
    <row r="2" spans="1:30" ht="30.75" customHeight="1">
      <c r="A2" s="639"/>
      <c r="B2" s="647" t="s">
        <v>2</v>
      </c>
      <c r="C2" s="648"/>
      <c r="D2" s="648"/>
      <c r="E2" s="648"/>
      <c r="F2" s="648"/>
      <c r="G2" s="648"/>
      <c r="H2" s="648"/>
      <c r="I2" s="648"/>
      <c r="J2" s="648"/>
      <c r="K2" s="648"/>
      <c r="L2" s="648"/>
      <c r="M2" s="648"/>
      <c r="N2" s="648"/>
      <c r="O2" s="648"/>
      <c r="P2" s="648"/>
      <c r="Q2" s="648"/>
      <c r="R2" s="648"/>
      <c r="S2" s="648"/>
      <c r="T2" s="648"/>
      <c r="U2" s="648"/>
      <c r="V2" s="648"/>
      <c r="W2" s="648"/>
      <c r="X2" s="648"/>
      <c r="Y2" s="648"/>
      <c r="Z2" s="648"/>
      <c r="AA2" s="649"/>
      <c r="AB2" s="662" t="s">
        <v>3</v>
      </c>
      <c r="AC2" s="663"/>
      <c r="AD2" s="664"/>
    </row>
    <row r="3" spans="1:30" ht="24" customHeight="1">
      <c r="A3" s="639"/>
      <c r="B3" s="618" t="s">
        <v>4</v>
      </c>
      <c r="C3" s="619"/>
      <c r="D3" s="619"/>
      <c r="E3" s="619"/>
      <c r="F3" s="619"/>
      <c r="G3" s="619"/>
      <c r="H3" s="619"/>
      <c r="I3" s="619"/>
      <c r="J3" s="619"/>
      <c r="K3" s="619"/>
      <c r="L3" s="619"/>
      <c r="M3" s="619"/>
      <c r="N3" s="619"/>
      <c r="O3" s="619"/>
      <c r="P3" s="619"/>
      <c r="Q3" s="619"/>
      <c r="R3" s="619"/>
      <c r="S3" s="619"/>
      <c r="T3" s="619"/>
      <c r="U3" s="619"/>
      <c r="V3" s="619"/>
      <c r="W3" s="619"/>
      <c r="X3" s="619"/>
      <c r="Y3" s="619"/>
      <c r="Z3" s="619"/>
      <c r="AA3" s="620"/>
      <c r="AB3" s="662" t="s">
        <v>5</v>
      </c>
      <c r="AC3" s="663"/>
      <c r="AD3" s="664"/>
    </row>
    <row r="4" spans="1:30" ht="21.95" customHeight="1" thickBot="1">
      <c r="A4" s="640"/>
      <c r="B4" s="621"/>
      <c r="C4" s="622"/>
      <c r="D4" s="622"/>
      <c r="E4" s="622"/>
      <c r="F4" s="622"/>
      <c r="G4" s="622"/>
      <c r="H4" s="622"/>
      <c r="I4" s="622"/>
      <c r="J4" s="622"/>
      <c r="K4" s="622"/>
      <c r="L4" s="622"/>
      <c r="M4" s="622"/>
      <c r="N4" s="622"/>
      <c r="O4" s="622"/>
      <c r="P4" s="622"/>
      <c r="Q4" s="622"/>
      <c r="R4" s="622"/>
      <c r="S4" s="622"/>
      <c r="T4" s="622"/>
      <c r="U4" s="622"/>
      <c r="V4" s="622"/>
      <c r="W4" s="622"/>
      <c r="X4" s="622"/>
      <c r="Y4" s="622"/>
      <c r="Z4" s="622"/>
      <c r="AA4" s="623"/>
      <c r="AB4" s="656" t="s">
        <v>6</v>
      </c>
      <c r="AC4" s="657"/>
      <c r="AD4" s="658"/>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c r="A7" s="609" t="s">
        <v>7</v>
      </c>
      <c r="B7" s="610"/>
      <c r="C7" s="624"/>
      <c r="D7" s="609" t="s">
        <v>8</v>
      </c>
      <c r="E7" s="627"/>
      <c r="F7" s="627"/>
      <c r="G7" s="627"/>
      <c r="H7" s="610"/>
      <c r="I7" s="630">
        <v>44595</v>
      </c>
      <c r="J7" s="631"/>
      <c r="K7" s="609" t="s">
        <v>9</v>
      </c>
      <c r="L7" s="610"/>
      <c r="M7" s="636" t="s">
        <v>10</v>
      </c>
      <c r="N7" s="637"/>
      <c r="O7" s="599" t="s">
        <v>11</v>
      </c>
      <c r="P7" s="600"/>
      <c r="Q7" s="54"/>
      <c r="R7" s="54"/>
      <c r="S7" s="54"/>
      <c r="T7" s="54"/>
      <c r="U7" s="54"/>
      <c r="V7" s="54"/>
      <c r="W7" s="54"/>
      <c r="X7" s="54"/>
      <c r="Y7" s="54"/>
      <c r="Z7" s="55"/>
      <c r="AA7" s="54"/>
      <c r="AB7" s="54"/>
      <c r="AC7" s="60"/>
      <c r="AD7" s="61"/>
    </row>
    <row r="8" spans="1:30">
      <c r="A8" s="611"/>
      <c r="B8" s="612"/>
      <c r="C8" s="625"/>
      <c r="D8" s="611"/>
      <c r="E8" s="628"/>
      <c r="F8" s="628"/>
      <c r="G8" s="628"/>
      <c r="H8" s="612"/>
      <c r="I8" s="632"/>
      <c r="J8" s="633"/>
      <c r="K8" s="611"/>
      <c r="L8" s="612"/>
      <c r="M8" s="601" t="s">
        <v>12</v>
      </c>
      <c r="N8" s="602"/>
      <c r="O8" s="603"/>
      <c r="P8" s="604"/>
      <c r="Q8" s="54"/>
      <c r="R8" s="54"/>
      <c r="S8" s="54"/>
      <c r="T8" s="54"/>
      <c r="U8" s="54"/>
      <c r="V8" s="54"/>
      <c r="W8" s="54"/>
      <c r="X8" s="54"/>
      <c r="Y8" s="54"/>
      <c r="Z8" s="55"/>
      <c r="AA8" s="54"/>
      <c r="AB8" s="54"/>
      <c r="AC8" s="60"/>
      <c r="AD8" s="61"/>
    </row>
    <row r="9" spans="1:30" ht="15.75" thickBot="1">
      <c r="A9" s="613"/>
      <c r="B9" s="614"/>
      <c r="C9" s="626"/>
      <c r="D9" s="613"/>
      <c r="E9" s="629"/>
      <c r="F9" s="629"/>
      <c r="G9" s="629"/>
      <c r="H9" s="614"/>
      <c r="I9" s="634"/>
      <c r="J9" s="635"/>
      <c r="K9" s="613"/>
      <c r="L9" s="614"/>
      <c r="M9" s="605" t="s">
        <v>13</v>
      </c>
      <c r="N9" s="606"/>
      <c r="O9" s="665" t="s">
        <v>11</v>
      </c>
      <c r="P9" s="666"/>
      <c r="Q9" s="54"/>
      <c r="R9" s="54"/>
      <c r="S9" s="54"/>
      <c r="T9" s="54"/>
      <c r="U9" s="54"/>
      <c r="V9" s="54"/>
      <c r="W9" s="54"/>
      <c r="X9" s="54"/>
      <c r="Y9" s="54"/>
      <c r="Z9" s="55"/>
      <c r="AA9" s="54"/>
      <c r="AB9" s="54"/>
      <c r="AC9" s="60"/>
      <c r="AD9" s="61"/>
    </row>
    <row r="10" spans="1:30" ht="15" customHeight="1" thickBot="1">
      <c r="A10" s="161"/>
      <c r="B10" s="454"/>
      <c r="C10" s="454"/>
      <c r="D10" s="65"/>
      <c r="E10" s="65"/>
      <c r="F10" s="65"/>
      <c r="G10" s="65"/>
      <c r="H10" s="65"/>
      <c r="I10" s="455"/>
      <c r="J10" s="455"/>
      <c r="K10" s="65"/>
      <c r="L10" s="65"/>
      <c r="M10" s="159"/>
      <c r="N10" s="159"/>
      <c r="O10" s="160"/>
      <c r="P10" s="160"/>
      <c r="Q10" s="454"/>
      <c r="R10" s="454"/>
      <c r="S10" s="454"/>
      <c r="T10" s="454"/>
      <c r="U10" s="454"/>
      <c r="V10" s="454"/>
      <c r="W10" s="454"/>
      <c r="X10" s="454"/>
      <c r="Y10" s="454"/>
      <c r="Z10" s="456"/>
      <c r="AA10" s="454"/>
      <c r="AB10" s="454"/>
      <c r="AC10" s="457"/>
      <c r="AD10" s="162"/>
    </row>
    <row r="11" spans="1:30" ht="15" customHeight="1">
      <c r="A11" s="609" t="s">
        <v>14</v>
      </c>
      <c r="B11" s="610"/>
      <c r="C11" s="615" t="s">
        <v>15</v>
      </c>
      <c r="D11" s="616"/>
      <c r="E11" s="616"/>
      <c r="F11" s="616"/>
      <c r="G11" s="616"/>
      <c r="H11" s="616"/>
      <c r="I11" s="616"/>
      <c r="J11" s="616"/>
      <c r="K11" s="616"/>
      <c r="L11" s="616"/>
      <c r="M11" s="616"/>
      <c r="N11" s="616"/>
      <c r="O11" s="616"/>
      <c r="P11" s="616"/>
      <c r="Q11" s="616"/>
      <c r="R11" s="616"/>
      <c r="S11" s="616"/>
      <c r="T11" s="616"/>
      <c r="U11" s="616"/>
      <c r="V11" s="616"/>
      <c r="W11" s="616"/>
      <c r="X11" s="616"/>
      <c r="Y11" s="616"/>
      <c r="Z11" s="616"/>
      <c r="AA11" s="616"/>
      <c r="AB11" s="616"/>
      <c r="AC11" s="616"/>
      <c r="AD11" s="617"/>
    </row>
    <row r="12" spans="1:30" ht="15" customHeight="1">
      <c r="A12" s="611"/>
      <c r="B12" s="612"/>
      <c r="C12" s="618"/>
      <c r="D12" s="619"/>
      <c r="E12" s="619"/>
      <c r="F12" s="619"/>
      <c r="G12" s="619"/>
      <c r="H12" s="619"/>
      <c r="I12" s="619"/>
      <c r="J12" s="619"/>
      <c r="K12" s="619"/>
      <c r="L12" s="619"/>
      <c r="M12" s="619"/>
      <c r="N12" s="619"/>
      <c r="O12" s="619"/>
      <c r="P12" s="619"/>
      <c r="Q12" s="619"/>
      <c r="R12" s="619"/>
      <c r="S12" s="619"/>
      <c r="T12" s="619"/>
      <c r="U12" s="619"/>
      <c r="V12" s="619"/>
      <c r="W12" s="619"/>
      <c r="X12" s="619"/>
      <c r="Y12" s="619"/>
      <c r="Z12" s="619"/>
      <c r="AA12" s="619"/>
      <c r="AB12" s="619"/>
      <c r="AC12" s="619"/>
      <c r="AD12" s="620"/>
    </row>
    <row r="13" spans="1:30" ht="15" customHeight="1" thickBot="1">
      <c r="A13" s="613"/>
      <c r="B13" s="614"/>
      <c r="C13" s="621"/>
      <c r="D13" s="622"/>
      <c r="E13" s="622"/>
      <c r="F13" s="622"/>
      <c r="G13" s="622"/>
      <c r="H13" s="622"/>
      <c r="I13" s="622"/>
      <c r="J13" s="622"/>
      <c r="K13" s="622"/>
      <c r="L13" s="622"/>
      <c r="M13" s="622"/>
      <c r="N13" s="622"/>
      <c r="O13" s="622"/>
      <c r="P13" s="622"/>
      <c r="Q13" s="622"/>
      <c r="R13" s="622"/>
      <c r="S13" s="622"/>
      <c r="T13" s="622"/>
      <c r="U13" s="622"/>
      <c r="V13" s="622"/>
      <c r="W13" s="622"/>
      <c r="X13" s="622"/>
      <c r="Y13" s="622"/>
      <c r="Z13" s="622"/>
      <c r="AA13" s="622"/>
      <c r="AB13" s="622"/>
      <c r="AC13" s="622"/>
      <c r="AD13" s="623"/>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586" t="s">
        <v>16</v>
      </c>
      <c r="B15" s="587"/>
      <c r="C15" s="593" t="s">
        <v>17</v>
      </c>
      <c r="D15" s="594"/>
      <c r="E15" s="594"/>
      <c r="F15" s="594"/>
      <c r="G15" s="594"/>
      <c r="H15" s="594"/>
      <c r="I15" s="594"/>
      <c r="J15" s="594"/>
      <c r="K15" s="595"/>
      <c r="L15" s="577" t="s">
        <v>18</v>
      </c>
      <c r="M15" s="578"/>
      <c r="N15" s="578"/>
      <c r="O15" s="578"/>
      <c r="P15" s="578"/>
      <c r="Q15" s="579"/>
      <c r="R15" s="596" t="s">
        <v>19</v>
      </c>
      <c r="S15" s="597"/>
      <c r="T15" s="597"/>
      <c r="U15" s="597"/>
      <c r="V15" s="597"/>
      <c r="W15" s="597"/>
      <c r="X15" s="598"/>
      <c r="Y15" s="577" t="s">
        <v>20</v>
      </c>
      <c r="Z15" s="579"/>
      <c r="AA15" s="593" t="s">
        <v>21</v>
      </c>
      <c r="AB15" s="594"/>
      <c r="AC15" s="594"/>
      <c r="AD15" s="595"/>
    </row>
    <row r="16" spans="1:30" ht="9" customHeight="1" thickBot="1">
      <c r="A16" s="59"/>
      <c r="B16" s="54"/>
      <c r="C16" s="585"/>
      <c r="D16" s="585"/>
      <c r="E16" s="585"/>
      <c r="F16" s="585"/>
      <c r="G16" s="585"/>
      <c r="H16" s="585"/>
      <c r="I16" s="585"/>
      <c r="J16" s="585"/>
      <c r="K16" s="585"/>
      <c r="L16" s="585"/>
      <c r="M16" s="585"/>
      <c r="N16" s="585"/>
      <c r="O16" s="585"/>
      <c r="P16" s="585"/>
      <c r="Q16" s="585"/>
      <c r="R16" s="585"/>
      <c r="S16" s="585"/>
      <c r="T16" s="585"/>
      <c r="U16" s="585"/>
      <c r="V16" s="585"/>
      <c r="W16" s="585"/>
      <c r="X16" s="585"/>
      <c r="Y16" s="585"/>
      <c r="Z16" s="585"/>
      <c r="AA16" s="585"/>
      <c r="AB16" s="585"/>
      <c r="AC16" s="73"/>
      <c r="AD16" s="74"/>
    </row>
    <row r="17" spans="1:41" s="76" customFormat="1" ht="37.5" customHeight="1" thickBot="1">
      <c r="A17" s="586" t="s">
        <v>22</v>
      </c>
      <c r="B17" s="587"/>
      <c r="C17" s="588" t="s">
        <v>105</v>
      </c>
      <c r="D17" s="589"/>
      <c r="E17" s="589"/>
      <c r="F17" s="589"/>
      <c r="G17" s="589"/>
      <c r="H17" s="589"/>
      <c r="I17" s="589"/>
      <c r="J17" s="589"/>
      <c r="K17" s="589"/>
      <c r="L17" s="589"/>
      <c r="M17" s="589"/>
      <c r="N17" s="589"/>
      <c r="O17" s="589"/>
      <c r="P17" s="589"/>
      <c r="Q17" s="590"/>
      <c r="R17" s="577" t="s">
        <v>24</v>
      </c>
      <c r="S17" s="578"/>
      <c r="T17" s="578"/>
      <c r="U17" s="578"/>
      <c r="V17" s="579"/>
      <c r="W17" s="667">
        <v>1</v>
      </c>
      <c r="X17" s="668"/>
      <c r="Y17" s="578" t="s">
        <v>25</v>
      </c>
      <c r="Z17" s="578"/>
      <c r="AA17" s="578"/>
      <c r="AB17" s="579"/>
      <c r="AC17" s="575">
        <v>0.35</v>
      </c>
      <c r="AD17" s="576"/>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577" t="s">
        <v>26</v>
      </c>
      <c r="B19" s="578"/>
      <c r="C19" s="578"/>
      <c r="D19" s="578"/>
      <c r="E19" s="578"/>
      <c r="F19" s="578"/>
      <c r="G19" s="578"/>
      <c r="H19" s="578"/>
      <c r="I19" s="578"/>
      <c r="J19" s="578"/>
      <c r="K19" s="578"/>
      <c r="L19" s="578"/>
      <c r="M19" s="578"/>
      <c r="N19" s="578"/>
      <c r="O19" s="578"/>
      <c r="P19" s="578"/>
      <c r="Q19" s="578"/>
      <c r="R19" s="578"/>
      <c r="S19" s="578"/>
      <c r="T19" s="578"/>
      <c r="U19" s="578"/>
      <c r="V19" s="578"/>
      <c r="W19" s="578"/>
      <c r="X19" s="578"/>
      <c r="Y19" s="578"/>
      <c r="Z19" s="578"/>
      <c r="AA19" s="578"/>
      <c r="AB19" s="578"/>
      <c r="AC19" s="578"/>
      <c r="AD19" s="579"/>
      <c r="AE19" s="83"/>
      <c r="AF19" s="83"/>
    </row>
    <row r="20" spans="1:41" ht="32.1" customHeight="1" thickBot="1">
      <c r="A20" s="82"/>
      <c r="B20" s="60"/>
      <c r="C20" s="577" t="s">
        <v>27</v>
      </c>
      <c r="D20" s="578"/>
      <c r="E20" s="578"/>
      <c r="F20" s="578"/>
      <c r="G20" s="578"/>
      <c r="H20" s="578"/>
      <c r="I20" s="578"/>
      <c r="J20" s="578"/>
      <c r="K20" s="578"/>
      <c r="L20" s="578"/>
      <c r="M20" s="578"/>
      <c r="N20" s="578"/>
      <c r="O20" s="578"/>
      <c r="P20" s="579"/>
      <c r="Q20" s="753" t="s">
        <v>28</v>
      </c>
      <c r="R20" s="754"/>
      <c r="S20" s="754"/>
      <c r="T20" s="754"/>
      <c r="U20" s="754"/>
      <c r="V20" s="754"/>
      <c r="W20" s="754"/>
      <c r="X20" s="754"/>
      <c r="Y20" s="754"/>
      <c r="Z20" s="754"/>
      <c r="AA20" s="754"/>
      <c r="AB20" s="754"/>
      <c r="AC20" s="754"/>
      <c r="AD20" s="755"/>
      <c r="AE20" s="83"/>
      <c r="AF20" s="83"/>
    </row>
    <row r="21" spans="1:41" ht="32.1" customHeight="1" thickBot="1">
      <c r="A21" s="59"/>
      <c r="B21" s="54"/>
      <c r="C21" s="442" t="s">
        <v>29</v>
      </c>
      <c r="D21" s="443" t="s">
        <v>30</v>
      </c>
      <c r="E21" s="443" t="s">
        <v>31</v>
      </c>
      <c r="F21" s="443" t="s">
        <v>32</v>
      </c>
      <c r="G21" s="443" t="s">
        <v>33</v>
      </c>
      <c r="H21" s="443" t="s">
        <v>34</v>
      </c>
      <c r="I21" s="443" t="s">
        <v>35</v>
      </c>
      <c r="J21" s="443" t="s">
        <v>36</v>
      </c>
      <c r="K21" s="443" t="s">
        <v>37</v>
      </c>
      <c r="L21" s="443" t="s">
        <v>38</v>
      </c>
      <c r="M21" s="443" t="s">
        <v>39</v>
      </c>
      <c r="N21" s="443" t="s">
        <v>40</v>
      </c>
      <c r="O21" s="443" t="s">
        <v>41</v>
      </c>
      <c r="P21" s="444" t="s">
        <v>42</v>
      </c>
      <c r="Q21" s="442" t="s">
        <v>29</v>
      </c>
      <c r="R21" s="443" t="s">
        <v>30</v>
      </c>
      <c r="S21" s="443" t="s">
        <v>31</v>
      </c>
      <c r="T21" s="443" t="s">
        <v>32</v>
      </c>
      <c r="U21" s="443" t="s">
        <v>33</v>
      </c>
      <c r="V21" s="443" t="s">
        <v>34</v>
      </c>
      <c r="W21" s="443" t="s">
        <v>35</v>
      </c>
      <c r="X21" s="443" t="s">
        <v>36</v>
      </c>
      <c r="Y21" s="443" t="s">
        <v>37</v>
      </c>
      <c r="Z21" s="443" t="s">
        <v>38</v>
      </c>
      <c r="AA21" s="443" t="s">
        <v>39</v>
      </c>
      <c r="AB21" s="443" t="s">
        <v>40</v>
      </c>
      <c r="AC21" s="443" t="s">
        <v>41</v>
      </c>
      <c r="AD21" s="444" t="s">
        <v>42</v>
      </c>
      <c r="AE21" s="3"/>
      <c r="AF21" s="3"/>
    </row>
    <row r="22" spans="1:41" ht="32.1" customHeight="1">
      <c r="A22" s="583" t="s">
        <v>43</v>
      </c>
      <c r="B22" s="584"/>
      <c r="C22" s="168">
        <v>0</v>
      </c>
      <c r="D22" s="167">
        <v>0</v>
      </c>
      <c r="E22" s="167">
        <v>0</v>
      </c>
      <c r="F22" s="167">
        <v>0</v>
      </c>
      <c r="G22" s="167">
        <v>0</v>
      </c>
      <c r="H22" s="167">
        <v>0</v>
      </c>
      <c r="I22" s="167">
        <v>0</v>
      </c>
      <c r="J22" s="167">
        <v>0</v>
      </c>
      <c r="K22" s="167">
        <v>0</v>
      </c>
      <c r="L22" s="167">
        <v>0</v>
      </c>
      <c r="M22" s="167">
        <v>0</v>
      </c>
      <c r="N22" s="167">
        <v>0</v>
      </c>
      <c r="O22" s="167">
        <f>SUM(C22:N22)</f>
        <v>0</v>
      </c>
      <c r="P22" s="393"/>
      <c r="Q22" s="222">
        <v>1230000000</v>
      </c>
      <c r="R22" s="167">
        <v>0</v>
      </c>
      <c r="S22" s="167">
        <v>0</v>
      </c>
      <c r="T22" s="167">
        <v>0</v>
      </c>
      <c r="U22" s="167">
        <v>0</v>
      </c>
      <c r="V22" s="167">
        <v>0</v>
      </c>
      <c r="W22" s="167">
        <v>0</v>
      </c>
      <c r="X22" s="167">
        <v>0</v>
      </c>
      <c r="Y22" s="167">
        <v>0</v>
      </c>
      <c r="Z22" s="167">
        <v>0</v>
      </c>
      <c r="AA22" s="167">
        <v>0</v>
      </c>
      <c r="AB22" s="167">
        <v>0</v>
      </c>
      <c r="AC22" s="380">
        <f>SUM(Q22:AB22)</f>
        <v>1230000000</v>
      </c>
      <c r="AD22" s="171"/>
      <c r="AE22" s="3"/>
      <c r="AF22" s="3"/>
    </row>
    <row r="23" spans="1:41" ht="32.1" customHeight="1">
      <c r="A23" s="550" t="s">
        <v>44</v>
      </c>
      <c r="B23" s="562"/>
      <c r="C23" s="168">
        <v>0</v>
      </c>
      <c r="D23" s="167">
        <v>0</v>
      </c>
      <c r="E23" s="167">
        <v>0</v>
      </c>
      <c r="F23" s="167">
        <v>0</v>
      </c>
      <c r="G23" s="167">
        <v>0</v>
      </c>
      <c r="H23" s="167">
        <v>0</v>
      </c>
      <c r="I23" s="167">
        <v>0</v>
      </c>
      <c r="J23" s="167">
        <v>0</v>
      </c>
      <c r="K23" s="167">
        <v>0</v>
      </c>
      <c r="L23" s="167">
        <v>0</v>
      </c>
      <c r="M23" s="167">
        <v>0</v>
      </c>
      <c r="N23" s="167">
        <v>0</v>
      </c>
      <c r="O23" s="163">
        <f>SUM(C23:N23)</f>
        <v>0</v>
      </c>
      <c r="P23" s="169" t="str">
        <f>IFERROR(O23/(SUMIF(C23:N23,"&gt;0",C22:N22))," ")</f>
        <v xml:space="preserve"> </v>
      </c>
      <c r="Q23" s="222">
        <v>1230000000</v>
      </c>
      <c r="R23" s="167">
        <v>0</v>
      </c>
      <c r="S23" s="167">
        <v>0</v>
      </c>
      <c r="T23" s="167">
        <v>0</v>
      </c>
      <c r="U23" s="167">
        <v>0</v>
      </c>
      <c r="V23" s="167">
        <v>0</v>
      </c>
      <c r="W23" s="167">
        <v>0</v>
      </c>
      <c r="X23" s="167">
        <v>0</v>
      </c>
      <c r="Y23" s="167">
        <v>0</v>
      </c>
      <c r="Z23" s="167">
        <v>0</v>
      </c>
      <c r="AA23" s="167">
        <v>0</v>
      </c>
      <c r="AB23" s="167">
        <v>0</v>
      </c>
      <c r="AC23" s="380">
        <f>SUM(Q23:AB23)</f>
        <v>1230000000</v>
      </c>
      <c r="AD23" s="465">
        <f>IFERROR(AC23/(SUMIF(Q23:AB23,"&gt;0",Q22:AB22))," ")</f>
        <v>1</v>
      </c>
      <c r="AE23" s="3"/>
      <c r="AF23" s="3"/>
    </row>
    <row r="24" spans="1:41" ht="32.1" customHeight="1">
      <c r="A24" s="550" t="s">
        <v>45</v>
      </c>
      <c r="B24" s="562"/>
      <c r="C24" s="168">
        <v>0</v>
      </c>
      <c r="D24" s="167">
        <v>0</v>
      </c>
      <c r="E24" s="167">
        <v>0</v>
      </c>
      <c r="F24" s="167">
        <v>0</v>
      </c>
      <c r="G24" s="167">
        <v>0</v>
      </c>
      <c r="H24" s="167">
        <v>0</v>
      </c>
      <c r="I24" s="167">
        <v>0</v>
      </c>
      <c r="J24" s="167">
        <v>0</v>
      </c>
      <c r="K24" s="167">
        <v>0</v>
      </c>
      <c r="L24" s="167">
        <v>0</v>
      </c>
      <c r="M24" s="167">
        <v>0</v>
      </c>
      <c r="N24" s="167">
        <v>0</v>
      </c>
      <c r="O24" s="163">
        <f>SUM(C24:N24)</f>
        <v>0</v>
      </c>
      <c r="P24" s="394"/>
      <c r="Q24" s="164">
        <v>0</v>
      </c>
      <c r="R24" s="380">
        <v>4666666.666666667</v>
      </c>
      <c r="S24" s="380">
        <v>14000000</v>
      </c>
      <c r="T24" s="380">
        <v>14000000</v>
      </c>
      <c r="U24" s="380">
        <v>14000000</v>
      </c>
      <c r="V24" s="380">
        <v>14000000</v>
      </c>
      <c r="W24" s="380">
        <v>167714285.7142857</v>
      </c>
      <c r="X24" s="380">
        <v>167714285.7142857</v>
      </c>
      <c r="Y24" s="380">
        <v>167714285.7142857</v>
      </c>
      <c r="Z24" s="380">
        <v>167714285.7142857</v>
      </c>
      <c r="AA24" s="380">
        <v>167714285.7142857</v>
      </c>
      <c r="AB24" s="380">
        <f>167714285.714286+163047619.047619</f>
        <v>330761904.76190495</v>
      </c>
      <c r="AC24" s="380">
        <f>SUM(Q24:AB24)</f>
        <v>1230000000.0000002</v>
      </c>
      <c r="AD24" s="169"/>
      <c r="AE24" s="3"/>
      <c r="AF24" s="3"/>
    </row>
    <row r="25" spans="1:41" ht="32.1" customHeight="1" thickBot="1">
      <c r="A25" s="563" t="s">
        <v>46</v>
      </c>
      <c r="B25" s="564"/>
      <c r="C25" s="390">
        <v>0</v>
      </c>
      <c r="D25" s="391">
        <v>0</v>
      </c>
      <c r="E25" s="391">
        <v>0</v>
      </c>
      <c r="F25" s="391">
        <v>0</v>
      </c>
      <c r="G25" s="391">
        <v>0</v>
      </c>
      <c r="H25" s="391">
        <v>0</v>
      </c>
      <c r="I25" s="391">
        <v>0</v>
      </c>
      <c r="J25" s="391">
        <v>0</v>
      </c>
      <c r="K25" s="391">
        <v>0</v>
      </c>
      <c r="L25" s="391">
        <v>0</v>
      </c>
      <c r="M25" s="391">
        <v>0</v>
      </c>
      <c r="N25" s="391">
        <v>0</v>
      </c>
      <c r="O25" s="166">
        <f>SUM(C25:N25)</f>
        <v>0</v>
      </c>
      <c r="P25" s="170" t="str">
        <f>IFERROR(O25/(SUMIF(C25:N25,"&gt;0",C24:N24))," ")</f>
        <v xml:space="preserve"> </v>
      </c>
      <c r="Q25" s="390">
        <v>0</v>
      </c>
      <c r="R25" s="391">
        <v>0</v>
      </c>
      <c r="S25" s="391">
        <v>0</v>
      </c>
      <c r="T25" s="391">
        <v>0</v>
      </c>
      <c r="U25" s="391">
        <v>0</v>
      </c>
      <c r="V25" s="391">
        <v>0</v>
      </c>
      <c r="W25" s="391">
        <v>0</v>
      </c>
      <c r="X25" s="391">
        <v>0</v>
      </c>
      <c r="Y25" s="391">
        <v>0</v>
      </c>
      <c r="Z25" s="391">
        <v>0</v>
      </c>
      <c r="AA25" s="391">
        <v>0</v>
      </c>
      <c r="AB25" s="391">
        <v>0</v>
      </c>
      <c r="AC25" s="391">
        <v>0</v>
      </c>
      <c r="AD25" s="170" t="str">
        <f>IFERROR(AC25/(SUMIF(Q25:AB25,"&gt;0",Q24:AB24))," ")</f>
        <v xml:space="preserve"> </v>
      </c>
      <c r="AE25" s="3"/>
      <c r="AF25" s="3"/>
    </row>
    <row r="26" spans="1:41"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2"/>
    </row>
    <row r="27" spans="1:41" ht="33.950000000000003" customHeight="1">
      <c r="A27" s="565" t="s">
        <v>47</v>
      </c>
      <c r="B27" s="566"/>
      <c r="C27" s="567"/>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8"/>
    </row>
    <row r="28" spans="1:41" ht="15" customHeight="1">
      <c r="A28" s="569" t="s">
        <v>48</v>
      </c>
      <c r="B28" s="571" t="s">
        <v>49</v>
      </c>
      <c r="C28" s="572"/>
      <c r="D28" s="562" t="s">
        <v>50</v>
      </c>
      <c r="E28" s="573"/>
      <c r="F28" s="573"/>
      <c r="G28" s="573"/>
      <c r="H28" s="573"/>
      <c r="I28" s="573"/>
      <c r="J28" s="573"/>
      <c r="K28" s="573"/>
      <c r="L28" s="573"/>
      <c r="M28" s="573"/>
      <c r="N28" s="573"/>
      <c r="O28" s="574"/>
      <c r="P28" s="551" t="s">
        <v>41</v>
      </c>
      <c r="Q28" s="551" t="s">
        <v>51</v>
      </c>
      <c r="R28" s="551"/>
      <c r="S28" s="551"/>
      <c r="T28" s="551"/>
      <c r="U28" s="551"/>
      <c r="V28" s="551"/>
      <c r="W28" s="551"/>
      <c r="X28" s="551"/>
      <c r="Y28" s="551"/>
      <c r="Z28" s="551"/>
      <c r="AA28" s="551"/>
      <c r="AB28" s="551"/>
      <c r="AC28" s="551"/>
      <c r="AD28" s="552"/>
    </row>
    <row r="29" spans="1:41" ht="27" customHeight="1">
      <c r="A29" s="570"/>
      <c r="B29" s="535"/>
      <c r="C29" s="561"/>
      <c r="D29" s="88" t="s">
        <v>29</v>
      </c>
      <c r="E29" s="88" t="s">
        <v>30</v>
      </c>
      <c r="F29" s="88" t="s">
        <v>31</v>
      </c>
      <c r="G29" s="88" t="s">
        <v>32</v>
      </c>
      <c r="H29" s="88" t="s">
        <v>33</v>
      </c>
      <c r="I29" s="88" t="s">
        <v>34</v>
      </c>
      <c r="J29" s="88" t="s">
        <v>35</v>
      </c>
      <c r="K29" s="88" t="s">
        <v>36</v>
      </c>
      <c r="L29" s="88" t="s">
        <v>37</v>
      </c>
      <c r="M29" s="88" t="s">
        <v>38</v>
      </c>
      <c r="N29" s="88" t="s">
        <v>39</v>
      </c>
      <c r="O29" s="88" t="s">
        <v>40</v>
      </c>
      <c r="P29" s="574"/>
      <c r="Q29" s="551"/>
      <c r="R29" s="551"/>
      <c r="S29" s="551"/>
      <c r="T29" s="551"/>
      <c r="U29" s="551"/>
      <c r="V29" s="551"/>
      <c r="W29" s="551"/>
      <c r="X29" s="551"/>
      <c r="Y29" s="551"/>
      <c r="Z29" s="551"/>
      <c r="AA29" s="551"/>
      <c r="AB29" s="551"/>
      <c r="AC29" s="551"/>
      <c r="AD29" s="552"/>
    </row>
    <row r="30" spans="1:41" ht="96" customHeight="1" thickBot="1">
      <c r="A30" s="441" t="str">
        <f>C17</f>
        <v xml:space="preserve">Diseñar e Implementar 1 programa piloto para promover la autonomía económica de las mujeres cuidadoras en el marco de la estrategia de emprendimiento y empleabilidad de la SDMujer </v>
      </c>
      <c r="B30" s="669"/>
      <c r="C30" s="670"/>
      <c r="D30" s="89"/>
      <c r="E30" s="89"/>
      <c r="F30" s="89"/>
      <c r="G30" s="89"/>
      <c r="H30" s="89"/>
      <c r="I30" s="89"/>
      <c r="J30" s="89"/>
      <c r="K30" s="89"/>
      <c r="L30" s="89"/>
      <c r="M30" s="89"/>
      <c r="N30" s="89"/>
      <c r="O30" s="89"/>
      <c r="P30" s="86">
        <f>SUM(D30:O30)</f>
        <v>0</v>
      </c>
      <c r="Q30" s="756"/>
      <c r="R30" s="756"/>
      <c r="S30" s="756"/>
      <c r="T30" s="756"/>
      <c r="U30" s="756"/>
      <c r="V30" s="756"/>
      <c r="W30" s="756"/>
      <c r="X30" s="756"/>
      <c r="Y30" s="756"/>
      <c r="Z30" s="756"/>
      <c r="AA30" s="756"/>
      <c r="AB30" s="756"/>
      <c r="AC30" s="756"/>
      <c r="AD30" s="757"/>
    </row>
    <row r="31" spans="1:41" ht="45" customHeight="1">
      <c r="A31" s="557" t="s">
        <v>53</v>
      </c>
      <c r="B31" s="558"/>
      <c r="C31" s="558"/>
      <c r="D31" s="558"/>
      <c r="E31" s="558"/>
      <c r="F31" s="558"/>
      <c r="G31" s="558"/>
      <c r="H31" s="558"/>
      <c r="I31" s="558"/>
      <c r="J31" s="558"/>
      <c r="K31" s="558"/>
      <c r="L31" s="558"/>
      <c r="M31" s="558"/>
      <c r="N31" s="558"/>
      <c r="O31" s="558"/>
      <c r="P31" s="558"/>
      <c r="Q31" s="558"/>
      <c r="R31" s="558"/>
      <c r="S31" s="558"/>
      <c r="T31" s="558"/>
      <c r="U31" s="558"/>
      <c r="V31" s="558"/>
      <c r="W31" s="558"/>
      <c r="X31" s="558"/>
      <c r="Y31" s="558"/>
      <c r="Z31" s="558"/>
      <c r="AA31" s="558"/>
      <c r="AB31" s="558"/>
      <c r="AC31" s="558"/>
      <c r="AD31" s="559"/>
    </row>
    <row r="32" spans="1:41" ht="23.1" customHeight="1">
      <c r="A32" s="550" t="s">
        <v>54</v>
      </c>
      <c r="B32" s="551" t="s">
        <v>55</v>
      </c>
      <c r="C32" s="551" t="s">
        <v>49</v>
      </c>
      <c r="D32" s="551" t="s">
        <v>56</v>
      </c>
      <c r="E32" s="551"/>
      <c r="F32" s="551"/>
      <c r="G32" s="551"/>
      <c r="H32" s="551"/>
      <c r="I32" s="551"/>
      <c r="J32" s="551"/>
      <c r="K32" s="551"/>
      <c r="L32" s="551"/>
      <c r="M32" s="551"/>
      <c r="N32" s="551"/>
      <c r="O32" s="551"/>
      <c r="P32" s="551"/>
      <c r="Q32" s="551" t="s">
        <v>57</v>
      </c>
      <c r="R32" s="551"/>
      <c r="S32" s="551"/>
      <c r="T32" s="551"/>
      <c r="U32" s="551"/>
      <c r="V32" s="551"/>
      <c r="W32" s="551"/>
      <c r="X32" s="551"/>
      <c r="Y32" s="551"/>
      <c r="Z32" s="551"/>
      <c r="AA32" s="551"/>
      <c r="AB32" s="551"/>
      <c r="AC32" s="551"/>
      <c r="AD32" s="552"/>
      <c r="AG32" s="87"/>
      <c r="AH32" s="87"/>
      <c r="AI32" s="87"/>
      <c r="AJ32" s="87"/>
      <c r="AK32" s="87"/>
      <c r="AL32" s="87"/>
      <c r="AM32" s="87"/>
      <c r="AN32" s="87"/>
      <c r="AO32" s="87"/>
    </row>
    <row r="33" spans="1:41" ht="23.1" customHeight="1">
      <c r="A33" s="550"/>
      <c r="B33" s="551"/>
      <c r="C33" s="560"/>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535" t="s">
        <v>58</v>
      </c>
      <c r="R33" s="536"/>
      <c r="S33" s="536"/>
      <c r="T33" s="536"/>
      <c r="U33" s="536"/>
      <c r="V33" s="561"/>
      <c r="W33" s="535" t="s">
        <v>59</v>
      </c>
      <c r="X33" s="536"/>
      <c r="Y33" s="536"/>
      <c r="Z33" s="561"/>
      <c r="AA33" s="535" t="s">
        <v>60</v>
      </c>
      <c r="AB33" s="536"/>
      <c r="AC33" s="536"/>
      <c r="AD33" s="537"/>
      <c r="AG33" s="87"/>
      <c r="AH33" s="87"/>
      <c r="AI33" s="87"/>
      <c r="AJ33" s="87"/>
      <c r="AK33" s="87"/>
      <c r="AL33" s="87"/>
      <c r="AM33" s="87"/>
      <c r="AN33" s="87"/>
      <c r="AO33" s="87"/>
    </row>
    <row r="34" spans="1:41" ht="73.5" customHeight="1">
      <c r="A34" s="673" t="s">
        <v>106</v>
      </c>
      <c r="B34" s="540">
        <f>B38+B40+B42+B44</f>
        <v>0.35000000000000003</v>
      </c>
      <c r="C34" s="90" t="s">
        <v>61</v>
      </c>
      <c r="D34" s="182">
        <v>0</v>
      </c>
      <c r="E34" s="182">
        <v>0.20476190476190476</v>
      </c>
      <c r="F34" s="182">
        <v>0.24557823129251702</v>
      </c>
      <c r="G34" s="182">
        <v>0.24557823129251702</v>
      </c>
      <c r="H34" s="182">
        <v>5.5102040816326539E-2</v>
      </c>
      <c r="I34" s="182">
        <v>5.5102040816326539E-2</v>
      </c>
      <c r="J34" s="182">
        <v>5.5102040816326539E-2</v>
      </c>
      <c r="K34" s="182">
        <v>5.5102040816326539E-2</v>
      </c>
      <c r="L34" s="182">
        <v>5.5102040816326539E-2</v>
      </c>
      <c r="M34" s="182">
        <v>1.428571428571429E-2</v>
      </c>
      <c r="N34" s="182">
        <v>1.428571428571429E-2</v>
      </c>
      <c r="O34" s="182">
        <v>0</v>
      </c>
      <c r="P34" s="195">
        <f>SUM(D34:O34)</f>
        <v>1</v>
      </c>
      <c r="Q34" s="709" t="s">
        <v>107</v>
      </c>
      <c r="R34" s="710"/>
      <c r="S34" s="710"/>
      <c r="T34" s="710"/>
      <c r="U34" s="710"/>
      <c r="V34" s="711"/>
      <c r="W34" s="715" t="s">
        <v>108</v>
      </c>
      <c r="X34" s="716"/>
      <c r="Y34" s="716"/>
      <c r="Z34" s="717"/>
      <c r="AA34" s="715" t="s">
        <v>109</v>
      </c>
      <c r="AB34" s="716"/>
      <c r="AC34" s="716"/>
      <c r="AD34" s="721"/>
      <c r="AG34" s="87"/>
      <c r="AH34" s="87"/>
      <c r="AI34" s="87"/>
      <c r="AJ34" s="87"/>
      <c r="AK34" s="87"/>
      <c r="AL34" s="87"/>
      <c r="AM34" s="87"/>
      <c r="AN34" s="87"/>
      <c r="AO34" s="87"/>
    </row>
    <row r="35" spans="1:41" ht="73.5" customHeight="1" thickBot="1">
      <c r="A35" s="674"/>
      <c r="B35" s="675"/>
      <c r="C35" s="91" t="s">
        <v>65</v>
      </c>
      <c r="D35" s="462">
        <v>0</v>
      </c>
      <c r="E35" s="462"/>
      <c r="F35" s="462"/>
      <c r="G35" s="463"/>
      <c r="H35" s="463"/>
      <c r="I35" s="463"/>
      <c r="J35" s="463"/>
      <c r="K35" s="463"/>
      <c r="L35" s="463"/>
      <c r="M35" s="463"/>
      <c r="N35" s="463"/>
      <c r="O35" s="463"/>
      <c r="P35" s="463">
        <f>SUM(D35:O35)</f>
        <v>0</v>
      </c>
      <c r="Q35" s="712"/>
      <c r="R35" s="713"/>
      <c r="S35" s="713"/>
      <c r="T35" s="713"/>
      <c r="U35" s="713"/>
      <c r="V35" s="714"/>
      <c r="W35" s="718"/>
      <c r="X35" s="719"/>
      <c r="Y35" s="719"/>
      <c r="Z35" s="720"/>
      <c r="AA35" s="718"/>
      <c r="AB35" s="719"/>
      <c r="AC35" s="719"/>
      <c r="AD35" s="722"/>
      <c r="AE35" s="49"/>
      <c r="AG35" s="87"/>
      <c r="AH35" s="87"/>
      <c r="AI35" s="87"/>
      <c r="AJ35" s="87"/>
      <c r="AK35" s="87"/>
      <c r="AL35" s="87"/>
      <c r="AM35" s="87"/>
      <c r="AN35" s="87"/>
      <c r="AO35" s="87"/>
    </row>
    <row r="36" spans="1:41" ht="26.1" customHeight="1">
      <c r="A36" s="583" t="s">
        <v>66</v>
      </c>
      <c r="B36" s="695" t="s">
        <v>67</v>
      </c>
      <c r="C36" s="697" t="s">
        <v>68</v>
      </c>
      <c r="D36" s="697"/>
      <c r="E36" s="697"/>
      <c r="F36" s="697"/>
      <c r="G36" s="697"/>
      <c r="H36" s="697"/>
      <c r="I36" s="697"/>
      <c r="J36" s="697"/>
      <c r="K36" s="697"/>
      <c r="L36" s="697"/>
      <c r="M36" s="697"/>
      <c r="N36" s="697"/>
      <c r="O36" s="697"/>
      <c r="P36" s="697"/>
      <c r="Q36" s="584" t="s">
        <v>69</v>
      </c>
      <c r="R36" s="698"/>
      <c r="S36" s="698"/>
      <c r="T36" s="698"/>
      <c r="U36" s="698"/>
      <c r="V36" s="698"/>
      <c r="W36" s="698"/>
      <c r="X36" s="698"/>
      <c r="Y36" s="698"/>
      <c r="Z36" s="698"/>
      <c r="AA36" s="698"/>
      <c r="AB36" s="698"/>
      <c r="AC36" s="698"/>
      <c r="AD36" s="699"/>
      <c r="AG36" s="87"/>
      <c r="AH36" s="87"/>
      <c r="AI36" s="87"/>
      <c r="AJ36" s="87"/>
      <c r="AK36" s="87"/>
      <c r="AL36" s="87"/>
      <c r="AM36" s="87"/>
      <c r="AN36" s="87"/>
      <c r="AO36" s="87"/>
    </row>
    <row r="37" spans="1:41" ht="26.1" customHeight="1">
      <c r="A37" s="550"/>
      <c r="B37" s="696"/>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562" t="s">
        <v>84</v>
      </c>
      <c r="R37" s="573"/>
      <c r="S37" s="573"/>
      <c r="T37" s="573"/>
      <c r="U37" s="573"/>
      <c r="V37" s="573"/>
      <c r="W37" s="573"/>
      <c r="X37" s="573"/>
      <c r="Y37" s="573"/>
      <c r="Z37" s="573"/>
      <c r="AA37" s="573"/>
      <c r="AB37" s="573"/>
      <c r="AC37" s="573"/>
      <c r="AD37" s="700"/>
      <c r="AG37" s="94"/>
      <c r="AH37" s="94"/>
      <c r="AI37" s="94"/>
      <c r="AJ37" s="94"/>
      <c r="AK37" s="94"/>
      <c r="AL37" s="94"/>
      <c r="AM37" s="94"/>
      <c r="AN37" s="94"/>
      <c r="AO37" s="94"/>
    </row>
    <row r="38" spans="1:41" ht="34.5" customHeight="1">
      <c r="A38" s="686" t="s">
        <v>110</v>
      </c>
      <c r="B38" s="687">
        <v>0.1</v>
      </c>
      <c r="C38" s="90" t="s">
        <v>61</v>
      </c>
      <c r="D38" s="95">
        <v>0</v>
      </c>
      <c r="E38" s="95">
        <f>1/3</f>
        <v>0.33333333333333331</v>
      </c>
      <c r="F38" s="95">
        <f>1/3</f>
        <v>0.33333333333333331</v>
      </c>
      <c r="G38" s="95">
        <f>1/3</f>
        <v>0.33333333333333331</v>
      </c>
      <c r="H38" s="95">
        <v>0</v>
      </c>
      <c r="I38" s="95">
        <v>0</v>
      </c>
      <c r="J38" s="95">
        <v>0</v>
      </c>
      <c r="K38" s="95">
        <v>0</v>
      </c>
      <c r="L38" s="95">
        <v>0</v>
      </c>
      <c r="M38" s="95">
        <v>0</v>
      </c>
      <c r="N38" s="95">
        <v>0</v>
      </c>
      <c r="O38" s="95">
        <v>0</v>
      </c>
      <c r="P38" s="96">
        <f t="shared" ref="P38:P45" si="0">SUM(D38:O38)</f>
        <v>1</v>
      </c>
      <c r="Q38" s="747" t="s">
        <v>111</v>
      </c>
      <c r="R38" s="748"/>
      <c r="S38" s="748"/>
      <c r="T38" s="748"/>
      <c r="U38" s="748"/>
      <c r="V38" s="748"/>
      <c r="W38" s="748"/>
      <c r="X38" s="748"/>
      <c r="Y38" s="748"/>
      <c r="Z38" s="748"/>
      <c r="AA38" s="748"/>
      <c r="AB38" s="748"/>
      <c r="AC38" s="748"/>
      <c r="AD38" s="749"/>
      <c r="AE38" s="97"/>
      <c r="AG38" s="98"/>
      <c r="AH38" s="98"/>
      <c r="AI38" s="98"/>
      <c r="AJ38" s="98"/>
      <c r="AK38" s="98"/>
      <c r="AL38" s="98"/>
      <c r="AM38" s="98"/>
      <c r="AN38" s="98"/>
      <c r="AO38" s="98"/>
    </row>
    <row r="39" spans="1:41" ht="34.5" customHeight="1">
      <c r="A39" s="527"/>
      <c r="B39" s="746"/>
      <c r="C39" s="99" t="s">
        <v>65</v>
      </c>
      <c r="D39" s="100">
        <v>0</v>
      </c>
      <c r="E39" s="100"/>
      <c r="F39" s="100"/>
      <c r="G39" s="100"/>
      <c r="H39" s="100"/>
      <c r="I39" s="100"/>
      <c r="J39" s="100"/>
      <c r="K39" s="100"/>
      <c r="L39" s="100"/>
      <c r="M39" s="100"/>
      <c r="N39" s="100"/>
      <c r="O39" s="100"/>
      <c r="P39" s="101">
        <f t="shared" si="0"/>
        <v>0</v>
      </c>
      <c r="Q39" s="750"/>
      <c r="R39" s="751"/>
      <c r="S39" s="751"/>
      <c r="T39" s="751"/>
      <c r="U39" s="751"/>
      <c r="V39" s="751"/>
      <c r="W39" s="751"/>
      <c r="X39" s="751"/>
      <c r="Y39" s="751"/>
      <c r="Z39" s="751"/>
      <c r="AA39" s="751"/>
      <c r="AB39" s="751"/>
      <c r="AC39" s="751"/>
      <c r="AD39" s="752"/>
      <c r="AE39" s="97"/>
    </row>
    <row r="40" spans="1:41" ht="63" customHeight="1">
      <c r="A40" s="686" t="s">
        <v>112</v>
      </c>
      <c r="B40" s="687">
        <v>0.1</v>
      </c>
      <c r="C40" s="90" t="s">
        <v>61</v>
      </c>
      <c r="D40" s="95">
        <v>0</v>
      </c>
      <c r="E40" s="95">
        <f>1/3</f>
        <v>0.33333333333333331</v>
      </c>
      <c r="F40" s="95">
        <f>1/3</f>
        <v>0.33333333333333331</v>
      </c>
      <c r="G40" s="95">
        <f>1/3</f>
        <v>0.33333333333333331</v>
      </c>
      <c r="H40" s="95">
        <v>0</v>
      </c>
      <c r="I40" s="95">
        <v>0</v>
      </c>
      <c r="J40" s="95">
        <v>0</v>
      </c>
      <c r="K40" s="95">
        <v>0</v>
      </c>
      <c r="L40" s="95">
        <v>0</v>
      </c>
      <c r="M40" s="95">
        <v>0</v>
      </c>
      <c r="N40" s="95">
        <v>0</v>
      </c>
      <c r="O40" s="95">
        <v>0</v>
      </c>
      <c r="P40" s="96">
        <f t="shared" si="0"/>
        <v>1</v>
      </c>
      <c r="Q40" s="747" t="s">
        <v>113</v>
      </c>
      <c r="R40" s="748"/>
      <c r="S40" s="748"/>
      <c r="T40" s="748"/>
      <c r="U40" s="748"/>
      <c r="V40" s="748"/>
      <c r="W40" s="748"/>
      <c r="X40" s="748"/>
      <c r="Y40" s="748"/>
      <c r="Z40" s="748"/>
      <c r="AA40" s="748"/>
      <c r="AB40" s="748"/>
      <c r="AC40" s="748"/>
      <c r="AD40" s="749"/>
      <c r="AE40" s="97"/>
      <c r="AG40" s="98"/>
      <c r="AH40" s="98"/>
      <c r="AI40" s="98"/>
      <c r="AJ40" s="98"/>
      <c r="AK40" s="98"/>
      <c r="AL40" s="98"/>
      <c r="AM40" s="98"/>
      <c r="AN40" s="98"/>
      <c r="AO40" s="98"/>
    </row>
    <row r="41" spans="1:41" ht="63" customHeight="1">
      <c r="A41" s="527"/>
      <c r="B41" s="746"/>
      <c r="C41" s="99" t="s">
        <v>65</v>
      </c>
      <c r="D41" s="100">
        <v>0</v>
      </c>
      <c r="E41" s="100"/>
      <c r="F41" s="100"/>
      <c r="G41" s="100"/>
      <c r="H41" s="100"/>
      <c r="I41" s="100"/>
      <c r="J41" s="100"/>
      <c r="K41" s="100"/>
      <c r="L41" s="100"/>
      <c r="M41" s="100"/>
      <c r="N41" s="100"/>
      <c r="O41" s="100"/>
      <c r="P41" s="101">
        <f t="shared" si="0"/>
        <v>0</v>
      </c>
      <c r="Q41" s="750"/>
      <c r="R41" s="751"/>
      <c r="S41" s="751"/>
      <c r="T41" s="751"/>
      <c r="U41" s="751"/>
      <c r="V41" s="751"/>
      <c r="W41" s="751"/>
      <c r="X41" s="751"/>
      <c r="Y41" s="751"/>
      <c r="Z41" s="751"/>
      <c r="AA41" s="751"/>
      <c r="AB41" s="751"/>
      <c r="AC41" s="751"/>
      <c r="AD41" s="752"/>
      <c r="AE41" s="97"/>
    </row>
    <row r="42" spans="1:41" ht="63" customHeight="1">
      <c r="A42" s="686" t="s">
        <v>114</v>
      </c>
      <c r="B42" s="758">
        <v>0.1</v>
      </c>
      <c r="C42" s="102" t="s">
        <v>61</v>
      </c>
      <c r="D42" s="103">
        <v>0</v>
      </c>
      <c r="E42" s="103">
        <v>0</v>
      </c>
      <c r="F42" s="103">
        <f t="shared" ref="F42:L42" si="1">1/7</f>
        <v>0.14285714285714285</v>
      </c>
      <c r="G42" s="103">
        <f t="shared" si="1"/>
        <v>0.14285714285714285</v>
      </c>
      <c r="H42" s="103">
        <f t="shared" si="1"/>
        <v>0.14285714285714285</v>
      </c>
      <c r="I42" s="103">
        <f t="shared" si="1"/>
        <v>0.14285714285714285</v>
      </c>
      <c r="J42" s="103">
        <f t="shared" si="1"/>
        <v>0.14285714285714285</v>
      </c>
      <c r="K42" s="103">
        <f t="shared" si="1"/>
        <v>0.14285714285714285</v>
      </c>
      <c r="L42" s="103">
        <f t="shared" si="1"/>
        <v>0.14285714285714285</v>
      </c>
      <c r="M42" s="103">
        <v>0</v>
      </c>
      <c r="N42" s="103">
        <v>0</v>
      </c>
      <c r="O42" s="103">
        <v>0</v>
      </c>
      <c r="P42" s="101">
        <f t="shared" si="0"/>
        <v>0.99999999999999978</v>
      </c>
      <c r="Q42" s="759" t="s">
        <v>115</v>
      </c>
      <c r="R42" s="760"/>
      <c r="S42" s="760"/>
      <c r="T42" s="760"/>
      <c r="U42" s="760"/>
      <c r="V42" s="760"/>
      <c r="W42" s="760"/>
      <c r="X42" s="760"/>
      <c r="Y42" s="760"/>
      <c r="Z42" s="760"/>
      <c r="AA42" s="760"/>
      <c r="AB42" s="760"/>
      <c r="AC42" s="760"/>
      <c r="AD42" s="761"/>
      <c r="AE42" s="97"/>
    </row>
    <row r="43" spans="1:41" ht="63" customHeight="1">
      <c r="A43" s="527"/>
      <c r="B43" s="746"/>
      <c r="C43" s="99" t="s">
        <v>65</v>
      </c>
      <c r="D43" s="100">
        <v>0</v>
      </c>
      <c r="E43" s="100"/>
      <c r="F43" s="100"/>
      <c r="G43" s="100"/>
      <c r="H43" s="100"/>
      <c r="I43" s="100"/>
      <c r="J43" s="100"/>
      <c r="K43" s="100"/>
      <c r="L43" s="104"/>
      <c r="M43" s="104"/>
      <c r="N43" s="104"/>
      <c r="O43" s="104"/>
      <c r="P43" s="101">
        <f t="shared" si="0"/>
        <v>0</v>
      </c>
      <c r="Q43" s="762"/>
      <c r="R43" s="763"/>
      <c r="S43" s="763"/>
      <c r="T43" s="763"/>
      <c r="U43" s="763"/>
      <c r="V43" s="763"/>
      <c r="W43" s="763"/>
      <c r="X43" s="763"/>
      <c r="Y43" s="763"/>
      <c r="Z43" s="763"/>
      <c r="AA43" s="763"/>
      <c r="AB43" s="763"/>
      <c r="AC43" s="763"/>
      <c r="AD43" s="764"/>
      <c r="AE43" s="97"/>
    </row>
    <row r="44" spans="1:41" ht="36.75" customHeight="1">
      <c r="A44" s="686" t="s">
        <v>116</v>
      </c>
      <c r="B44" s="758">
        <v>0.05</v>
      </c>
      <c r="C44" s="102" t="s">
        <v>61</v>
      </c>
      <c r="D44" s="103">
        <v>0</v>
      </c>
      <c r="E44" s="103">
        <f t="shared" ref="E44:N44" si="2">1/10</f>
        <v>0.1</v>
      </c>
      <c r="F44" s="103">
        <f t="shared" si="2"/>
        <v>0.1</v>
      </c>
      <c r="G44" s="103">
        <f t="shared" si="2"/>
        <v>0.1</v>
      </c>
      <c r="H44" s="103">
        <f t="shared" si="2"/>
        <v>0.1</v>
      </c>
      <c r="I44" s="103">
        <f t="shared" si="2"/>
        <v>0.1</v>
      </c>
      <c r="J44" s="103">
        <f t="shared" si="2"/>
        <v>0.1</v>
      </c>
      <c r="K44" s="103">
        <f t="shared" si="2"/>
        <v>0.1</v>
      </c>
      <c r="L44" s="103">
        <f t="shared" si="2"/>
        <v>0.1</v>
      </c>
      <c r="M44" s="103">
        <f t="shared" si="2"/>
        <v>0.1</v>
      </c>
      <c r="N44" s="103">
        <f t="shared" si="2"/>
        <v>0.1</v>
      </c>
      <c r="O44" s="103">
        <v>0</v>
      </c>
      <c r="P44" s="101">
        <f t="shared" si="0"/>
        <v>0.99999999999999989</v>
      </c>
      <c r="Q44" s="747" t="s">
        <v>117</v>
      </c>
      <c r="R44" s="748"/>
      <c r="S44" s="748"/>
      <c r="T44" s="748"/>
      <c r="U44" s="748"/>
      <c r="V44" s="748"/>
      <c r="W44" s="748"/>
      <c r="X44" s="748"/>
      <c r="Y44" s="748"/>
      <c r="Z44" s="748"/>
      <c r="AA44" s="748"/>
      <c r="AB44" s="748"/>
      <c r="AC44" s="748"/>
      <c r="AD44" s="749"/>
      <c r="AE44" s="97"/>
    </row>
    <row r="45" spans="1:41" ht="36.75" customHeight="1" thickBot="1">
      <c r="A45" s="528"/>
      <c r="B45" s="688"/>
      <c r="C45" s="91" t="s">
        <v>65</v>
      </c>
      <c r="D45" s="105">
        <v>0</v>
      </c>
      <c r="E45" s="105"/>
      <c r="F45" s="105"/>
      <c r="G45" s="105"/>
      <c r="H45" s="105"/>
      <c r="I45" s="105"/>
      <c r="J45" s="105"/>
      <c r="K45" s="105"/>
      <c r="L45" s="106"/>
      <c r="M45" s="106"/>
      <c r="N45" s="106"/>
      <c r="O45" s="106"/>
      <c r="P45" s="107">
        <f t="shared" si="0"/>
        <v>0</v>
      </c>
      <c r="Q45" s="765"/>
      <c r="R45" s="766"/>
      <c r="S45" s="766"/>
      <c r="T45" s="766"/>
      <c r="U45" s="766"/>
      <c r="V45" s="766"/>
      <c r="W45" s="766"/>
      <c r="X45" s="766"/>
      <c r="Y45" s="766"/>
      <c r="Z45" s="766"/>
      <c r="AA45" s="766"/>
      <c r="AB45" s="766"/>
      <c r="AC45" s="766"/>
      <c r="AD45" s="767"/>
      <c r="AE45" s="97"/>
    </row>
    <row r="46" spans="1:41">
      <c r="A46" s="50" t="s">
        <v>91</v>
      </c>
    </row>
    <row r="51" spans="1:51" s="204" customFormat="1" ht="21.75" customHeight="1">
      <c r="A51" s="703" t="s">
        <v>104</v>
      </c>
      <c r="B51" s="703" t="s">
        <v>67</v>
      </c>
      <c r="C51" s="743" t="s">
        <v>68</v>
      </c>
      <c r="D51" s="744"/>
      <c r="E51" s="744"/>
      <c r="F51" s="744"/>
      <c r="G51" s="744"/>
      <c r="H51" s="744"/>
      <c r="I51" s="744"/>
      <c r="J51" s="744"/>
      <c r="K51" s="744"/>
      <c r="L51" s="744"/>
      <c r="M51" s="744"/>
      <c r="N51" s="744"/>
      <c r="O51" s="744"/>
      <c r="P51" s="745"/>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3"/>
      <c r="AR51" s="203"/>
      <c r="AS51" s="203"/>
      <c r="AT51" s="203"/>
      <c r="AU51" s="203"/>
      <c r="AV51" s="203"/>
      <c r="AW51" s="203"/>
      <c r="AX51" s="203"/>
      <c r="AY51" s="203"/>
    </row>
    <row r="52" spans="1:51" s="204" customFormat="1" ht="21.75" customHeight="1">
      <c r="A52" s="702"/>
      <c r="B52" s="702"/>
      <c r="C52" s="205" t="s">
        <v>70</v>
      </c>
      <c r="D52" s="205" t="s">
        <v>71</v>
      </c>
      <c r="E52" s="205" t="s">
        <v>72</v>
      </c>
      <c r="F52" s="205" t="s">
        <v>73</v>
      </c>
      <c r="G52" s="205" t="s">
        <v>74</v>
      </c>
      <c r="H52" s="205" t="s">
        <v>75</v>
      </c>
      <c r="I52" s="205" t="s">
        <v>76</v>
      </c>
      <c r="J52" s="205" t="s">
        <v>77</v>
      </c>
      <c r="K52" s="205" t="s">
        <v>78</v>
      </c>
      <c r="L52" s="205" t="s">
        <v>79</v>
      </c>
      <c r="M52" s="205" t="s">
        <v>80</v>
      </c>
      <c r="N52" s="205" t="s">
        <v>81</v>
      </c>
      <c r="O52" s="205" t="s">
        <v>82</v>
      </c>
      <c r="P52" s="205" t="s">
        <v>83</v>
      </c>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203"/>
      <c r="AR52" s="203"/>
      <c r="AS52" s="203"/>
      <c r="AT52" s="203"/>
      <c r="AU52" s="203"/>
      <c r="AV52" s="203"/>
      <c r="AW52" s="203"/>
      <c r="AX52" s="203"/>
      <c r="AY52" s="203"/>
    </row>
    <row r="53" spans="1:51" s="204" customFormat="1" ht="12.75" customHeight="1">
      <c r="A53" s="701" t="str">
        <f>A38</f>
        <v xml:space="preserve">13. Estructurar los insumos técnicos del programa para el componente de seguimiento y monitoreo </v>
      </c>
      <c r="B53" s="701">
        <f>B38</f>
        <v>0.1</v>
      </c>
      <c r="C53" s="206" t="s">
        <v>61</v>
      </c>
      <c r="D53" s="375">
        <f>D38*$B$38/$P$38</f>
        <v>0</v>
      </c>
      <c r="E53" s="375">
        <f t="shared" ref="E53:O53" si="3">E38*$B$38/$P$38</f>
        <v>3.3333333333333333E-2</v>
      </c>
      <c r="F53" s="375">
        <f t="shared" si="3"/>
        <v>3.3333333333333333E-2</v>
      </c>
      <c r="G53" s="375">
        <f t="shared" si="3"/>
        <v>3.3333333333333333E-2</v>
      </c>
      <c r="H53" s="375">
        <f t="shared" si="3"/>
        <v>0</v>
      </c>
      <c r="I53" s="375">
        <f t="shared" si="3"/>
        <v>0</v>
      </c>
      <c r="J53" s="375">
        <f t="shared" si="3"/>
        <v>0</v>
      </c>
      <c r="K53" s="375">
        <f t="shared" si="3"/>
        <v>0</v>
      </c>
      <c r="L53" s="375">
        <f t="shared" si="3"/>
        <v>0</v>
      </c>
      <c r="M53" s="375">
        <f t="shared" si="3"/>
        <v>0</v>
      </c>
      <c r="N53" s="375">
        <f t="shared" si="3"/>
        <v>0</v>
      </c>
      <c r="O53" s="375">
        <f t="shared" si="3"/>
        <v>0</v>
      </c>
      <c r="P53" s="371">
        <f t="shared" ref="P53:P56" si="4">SUM(D53:O53)</f>
        <v>0.1</v>
      </c>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3"/>
      <c r="AR53" s="203"/>
      <c r="AS53" s="203"/>
      <c r="AT53" s="203"/>
      <c r="AU53" s="203"/>
      <c r="AV53" s="203"/>
      <c r="AW53" s="203"/>
      <c r="AX53" s="203"/>
      <c r="AY53" s="203"/>
    </row>
    <row r="54" spans="1:51" s="204" customFormat="1" ht="12.75" customHeight="1">
      <c r="A54" s="702"/>
      <c r="B54" s="702"/>
      <c r="C54" s="208" t="s">
        <v>65</v>
      </c>
      <c r="D54" s="376">
        <f>D39*$B$38/$P$38</f>
        <v>0</v>
      </c>
      <c r="E54" s="376">
        <f t="shared" ref="E54:O54" si="5">E39*$B$38/$P$38</f>
        <v>0</v>
      </c>
      <c r="F54" s="376">
        <f t="shared" si="5"/>
        <v>0</v>
      </c>
      <c r="G54" s="376">
        <f t="shared" si="5"/>
        <v>0</v>
      </c>
      <c r="H54" s="376">
        <f t="shared" si="5"/>
        <v>0</v>
      </c>
      <c r="I54" s="376">
        <f t="shared" si="5"/>
        <v>0</v>
      </c>
      <c r="J54" s="376">
        <f t="shared" si="5"/>
        <v>0</v>
      </c>
      <c r="K54" s="376">
        <f t="shared" si="5"/>
        <v>0</v>
      </c>
      <c r="L54" s="376">
        <f t="shared" si="5"/>
        <v>0</v>
      </c>
      <c r="M54" s="376">
        <f t="shared" si="5"/>
        <v>0</v>
      </c>
      <c r="N54" s="376">
        <f t="shared" si="5"/>
        <v>0</v>
      </c>
      <c r="O54" s="376">
        <f t="shared" si="5"/>
        <v>0</v>
      </c>
      <c r="P54" s="210">
        <f t="shared" si="4"/>
        <v>0</v>
      </c>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3"/>
      <c r="AR54" s="203"/>
      <c r="AS54" s="203"/>
      <c r="AT54" s="203"/>
      <c r="AU54" s="203"/>
      <c r="AV54" s="203"/>
      <c r="AW54" s="203"/>
      <c r="AX54" s="203"/>
      <c r="AY54" s="203"/>
    </row>
    <row r="55" spans="1:51" s="204" customFormat="1" ht="12.75" customHeight="1">
      <c r="A55" s="701" t="str">
        <f>+A40</f>
        <v>14. Diseñar e implementar el proceso de convocatoria con el fin de alcanzar la meta poblacional propuesta en el piloto y levantar una línea base de organizaciones productiva de mujeres cuidadoras asociadas</v>
      </c>
      <c r="B55" s="701">
        <f>B40</f>
        <v>0.1</v>
      </c>
      <c r="C55" s="206" t="s">
        <v>61</v>
      </c>
      <c r="D55" s="375">
        <f>D40*$B$40/$P$40</f>
        <v>0</v>
      </c>
      <c r="E55" s="375">
        <f t="shared" ref="E55:O55" si="6">E40*$B$40/$P$40</f>
        <v>3.3333333333333333E-2</v>
      </c>
      <c r="F55" s="375">
        <f t="shared" si="6"/>
        <v>3.3333333333333333E-2</v>
      </c>
      <c r="G55" s="375">
        <f t="shared" si="6"/>
        <v>3.3333333333333333E-2</v>
      </c>
      <c r="H55" s="375">
        <f t="shared" si="6"/>
        <v>0</v>
      </c>
      <c r="I55" s="375">
        <f t="shared" si="6"/>
        <v>0</v>
      </c>
      <c r="J55" s="375">
        <f t="shared" si="6"/>
        <v>0</v>
      </c>
      <c r="K55" s="375">
        <f t="shared" si="6"/>
        <v>0</v>
      </c>
      <c r="L55" s="375">
        <f t="shared" si="6"/>
        <v>0</v>
      </c>
      <c r="M55" s="375">
        <f t="shared" si="6"/>
        <v>0</v>
      </c>
      <c r="N55" s="375">
        <f t="shared" si="6"/>
        <v>0</v>
      </c>
      <c r="O55" s="375">
        <f t="shared" si="6"/>
        <v>0</v>
      </c>
      <c r="P55" s="371">
        <f t="shared" si="4"/>
        <v>0.1</v>
      </c>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07"/>
      <c r="AN55" s="207"/>
      <c r="AO55" s="207"/>
      <c r="AP55" s="207"/>
      <c r="AQ55" s="203"/>
      <c r="AR55" s="203"/>
      <c r="AS55" s="203"/>
      <c r="AT55" s="203"/>
      <c r="AU55" s="203"/>
      <c r="AV55" s="203"/>
      <c r="AW55" s="203"/>
      <c r="AX55" s="203"/>
      <c r="AY55" s="203"/>
    </row>
    <row r="56" spans="1:51" s="204" customFormat="1" ht="12.75" customHeight="1">
      <c r="A56" s="702"/>
      <c r="B56" s="702"/>
      <c r="C56" s="208" t="s">
        <v>65</v>
      </c>
      <c r="D56" s="376">
        <f t="shared" ref="D56:O56" si="7">D41*$B$40/$P$40</f>
        <v>0</v>
      </c>
      <c r="E56" s="376">
        <f t="shared" si="7"/>
        <v>0</v>
      </c>
      <c r="F56" s="376">
        <f t="shared" si="7"/>
        <v>0</v>
      </c>
      <c r="G56" s="376">
        <f t="shared" si="7"/>
        <v>0</v>
      </c>
      <c r="H56" s="376">
        <f t="shared" si="7"/>
        <v>0</v>
      </c>
      <c r="I56" s="376">
        <f t="shared" si="7"/>
        <v>0</v>
      </c>
      <c r="J56" s="376">
        <f t="shared" si="7"/>
        <v>0</v>
      </c>
      <c r="K56" s="376">
        <f t="shared" si="7"/>
        <v>0</v>
      </c>
      <c r="L56" s="376">
        <f t="shared" si="7"/>
        <v>0</v>
      </c>
      <c r="M56" s="376">
        <f t="shared" si="7"/>
        <v>0</v>
      </c>
      <c r="N56" s="376">
        <f t="shared" si="7"/>
        <v>0</v>
      </c>
      <c r="O56" s="376">
        <f t="shared" si="7"/>
        <v>0</v>
      </c>
      <c r="P56" s="210">
        <f t="shared" si="4"/>
        <v>0</v>
      </c>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c r="AN56" s="207"/>
      <c r="AO56" s="207"/>
      <c r="AP56" s="207"/>
      <c r="AQ56" s="203"/>
      <c r="AR56" s="203"/>
      <c r="AS56" s="203"/>
      <c r="AT56" s="203"/>
      <c r="AU56" s="203"/>
      <c r="AV56" s="203"/>
      <c r="AW56" s="203"/>
      <c r="AX56" s="203"/>
      <c r="AY56" s="203"/>
    </row>
    <row r="57" spans="1:51" s="204" customFormat="1" ht="12.75" customHeight="1">
      <c r="A57" s="701" t="str">
        <f>A42</f>
        <v>15. Realizar seguimiento al cumplimiento de las horas de formación y mentoría personalizada y las acciones definidas en los planes de fortalecimiento organizativo de las organizaciones productivas de mujeres cuidadoras asociadas beneficiarias del piloto.</v>
      </c>
      <c r="B57" s="701">
        <f>B42</f>
        <v>0.1</v>
      </c>
      <c r="C57" s="206" t="s">
        <v>61</v>
      </c>
      <c r="D57" s="375">
        <f>D42*$B$42/$P$42</f>
        <v>0</v>
      </c>
      <c r="E57" s="375">
        <f t="shared" ref="E57:O57" si="8">E42*$B$42/$P$42</f>
        <v>0</v>
      </c>
      <c r="F57" s="375">
        <f t="shared" si="8"/>
        <v>1.4285714285714289E-2</v>
      </c>
      <c r="G57" s="375">
        <f t="shared" si="8"/>
        <v>1.4285714285714289E-2</v>
      </c>
      <c r="H57" s="375">
        <f t="shared" si="8"/>
        <v>1.4285714285714289E-2</v>
      </c>
      <c r="I57" s="375">
        <f t="shared" si="8"/>
        <v>1.4285714285714289E-2</v>
      </c>
      <c r="J57" s="375">
        <f t="shared" si="8"/>
        <v>1.4285714285714289E-2</v>
      </c>
      <c r="K57" s="375">
        <f t="shared" si="8"/>
        <v>1.4285714285714289E-2</v>
      </c>
      <c r="L57" s="375">
        <f t="shared" si="8"/>
        <v>1.4285714285714289E-2</v>
      </c>
      <c r="M57" s="375">
        <f t="shared" si="8"/>
        <v>0</v>
      </c>
      <c r="N57" s="375">
        <f t="shared" si="8"/>
        <v>0</v>
      </c>
      <c r="O57" s="375">
        <f t="shared" si="8"/>
        <v>0</v>
      </c>
      <c r="P57" s="371">
        <f t="shared" ref="P57:P60" si="9">SUM(D57:O57)</f>
        <v>0.10000000000000002</v>
      </c>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7"/>
      <c r="AN57" s="207"/>
      <c r="AO57" s="207"/>
      <c r="AP57" s="207"/>
      <c r="AQ57" s="203"/>
      <c r="AR57" s="203"/>
      <c r="AS57" s="203"/>
      <c r="AT57" s="203"/>
      <c r="AU57" s="203"/>
      <c r="AV57" s="203"/>
      <c r="AW57" s="203"/>
      <c r="AX57" s="203"/>
      <c r="AY57" s="203"/>
    </row>
    <row r="58" spans="1:51" s="204" customFormat="1" ht="12.75" customHeight="1">
      <c r="A58" s="702"/>
      <c r="B58" s="702"/>
      <c r="C58" s="208" t="s">
        <v>65</v>
      </c>
      <c r="D58" s="376">
        <f>D43*$B$42/$P$42</f>
        <v>0</v>
      </c>
      <c r="E58" s="376">
        <f t="shared" ref="E58:O58" si="10">E43*$B$42/$P$42</f>
        <v>0</v>
      </c>
      <c r="F58" s="376">
        <f t="shared" si="10"/>
        <v>0</v>
      </c>
      <c r="G58" s="376">
        <f t="shared" si="10"/>
        <v>0</v>
      </c>
      <c r="H58" s="376">
        <f t="shared" si="10"/>
        <v>0</v>
      </c>
      <c r="I58" s="376">
        <f t="shared" si="10"/>
        <v>0</v>
      </c>
      <c r="J58" s="376">
        <f t="shared" si="10"/>
        <v>0</v>
      </c>
      <c r="K58" s="376">
        <f t="shared" si="10"/>
        <v>0</v>
      </c>
      <c r="L58" s="376">
        <f t="shared" si="10"/>
        <v>0</v>
      </c>
      <c r="M58" s="376">
        <f t="shared" si="10"/>
        <v>0</v>
      </c>
      <c r="N58" s="376">
        <f t="shared" si="10"/>
        <v>0</v>
      </c>
      <c r="O58" s="376">
        <f t="shared" si="10"/>
        <v>0</v>
      </c>
      <c r="P58" s="210">
        <f t="shared" si="9"/>
        <v>0</v>
      </c>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M58" s="207"/>
      <c r="AN58" s="207"/>
      <c r="AO58" s="207"/>
      <c r="AP58" s="207"/>
      <c r="AQ58" s="203"/>
      <c r="AR58" s="203"/>
      <c r="AS58" s="203"/>
      <c r="AT58" s="203"/>
      <c r="AU58" s="203"/>
      <c r="AV58" s="203"/>
      <c r="AW58" s="203"/>
      <c r="AX58" s="203"/>
      <c r="AY58" s="203"/>
    </row>
    <row r="59" spans="1:51" s="204" customFormat="1" ht="12.75" customHeight="1">
      <c r="A59" s="701" t="str">
        <f>A44</f>
        <v>16. Supervisar el cumplimiento de los objetivos propuestos en el piloto.</v>
      </c>
      <c r="B59" s="701">
        <f>B44</f>
        <v>0.05</v>
      </c>
      <c r="C59" s="206" t="s">
        <v>61</v>
      </c>
      <c r="D59" s="375">
        <f>D44*$B$44/$P$44</f>
        <v>0</v>
      </c>
      <c r="E59" s="375">
        <f t="shared" ref="E59:O59" si="11">E44*$B$44/$P$44</f>
        <v>5.0000000000000018E-3</v>
      </c>
      <c r="F59" s="375">
        <f t="shared" si="11"/>
        <v>5.0000000000000018E-3</v>
      </c>
      <c r="G59" s="375">
        <f t="shared" si="11"/>
        <v>5.0000000000000018E-3</v>
      </c>
      <c r="H59" s="375">
        <f t="shared" si="11"/>
        <v>5.0000000000000018E-3</v>
      </c>
      <c r="I59" s="375">
        <f t="shared" si="11"/>
        <v>5.0000000000000018E-3</v>
      </c>
      <c r="J59" s="375">
        <f t="shared" si="11"/>
        <v>5.0000000000000018E-3</v>
      </c>
      <c r="K59" s="375">
        <f t="shared" si="11"/>
        <v>5.0000000000000018E-3</v>
      </c>
      <c r="L59" s="375">
        <f t="shared" si="11"/>
        <v>5.0000000000000018E-3</v>
      </c>
      <c r="M59" s="375">
        <f t="shared" si="11"/>
        <v>5.0000000000000018E-3</v>
      </c>
      <c r="N59" s="375">
        <f t="shared" si="11"/>
        <v>5.0000000000000018E-3</v>
      </c>
      <c r="O59" s="375">
        <f t="shared" si="11"/>
        <v>0</v>
      </c>
      <c r="P59" s="371">
        <f t="shared" si="9"/>
        <v>5.0000000000000024E-2</v>
      </c>
      <c r="Q59" s="207"/>
      <c r="R59" s="207"/>
      <c r="S59" s="207"/>
      <c r="T59" s="207"/>
      <c r="U59" s="207"/>
      <c r="V59" s="207"/>
      <c r="W59" s="207"/>
      <c r="X59" s="207"/>
      <c r="Y59" s="207"/>
      <c r="Z59" s="207"/>
      <c r="AA59" s="207"/>
      <c r="AB59" s="207"/>
      <c r="AC59" s="207"/>
      <c r="AD59" s="207"/>
      <c r="AE59" s="207"/>
      <c r="AF59" s="207"/>
      <c r="AG59" s="207"/>
      <c r="AH59" s="207"/>
      <c r="AI59" s="207"/>
      <c r="AJ59" s="207"/>
      <c r="AK59" s="207"/>
      <c r="AL59" s="207"/>
      <c r="AM59" s="207"/>
      <c r="AN59" s="207"/>
      <c r="AO59" s="207"/>
      <c r="AP59" s="207"/>
      <c r="AQ59" s="203"/>
      <c r="AR59" s="203"/>
      <c r="AS59" s="203"/>
      <c r="AT59" s="203"/>
      <c r="AU59" s="203"/>
      <c r="AV59" s="203"/>
      <c r="AW59" s="203"/>
      <c r="AX59" s="203"/>
      <c r="AY59" s="203"/>
    </row>
    <row r="60" spans="1:51" s="204" customFormat="1" ht="12.75" customHeight="1">
      <c r="A60" s="702"/>
      <c r="B60" s="702"/>
      <c r="C60" s="208" t="s">
        <v>65</v>
      </c>
      <c r="D60" s="376">
        <f>D45*$B$44/$P$44</f>
        <v>0</v>
      </c>
      <c r="E60" s="376">
        <f t="shared" ref="E60:O60" si="12">E45*$B$44/$P$44</f>
        <v>0</v>
      </c>
      <c r="F60" s="376">
        <f t="shared" si="12"/>
        <v>0</v>
      </c>
      <c r="G60" s="376">
        <f t="shared" si="12"/>
        <v>0</v>
      </c>
      <c r="H60" s="376">
        <f t="shared" si="12"/>
        <v>0</v>
      </c>
      <c r="I60" s="376">
        <f t="shared" si="12"/>
        <v>0</v>
      </c>
      <c r="J60" s="376">
        <f t="shared" si="12"/>
        <v>0</v>
      </c>
      <c r="K60" s="376">
        <f t="shared" si="12"/>
        <v>0</v>
      </c>
      <c r="L60" s="376">
        <f t="shared" si="12"/>
        <v>0</v>
      </c>
      <c r="M60" s="376">
        <f t="shared" si="12"/>
        <v>0</v>
      </c>
      <c r="N60" s="376">
        <f t="shared" si="12"/>
        <v>0</v>
      </c>
      <c r="O60" s="376">
        <f t="shared" si="12"/>
        <v>0</v>
      </c>
      <c r="P60" s="210">
        <f t="shared" si="9"/>
        <v>0</v>
      </c>
      <c r="Q60" s="207"/>
      <c r="R60" s="207"/>
      <c r="S60" s="207"/>
      <c r="T60" s="207"/>
      <c r="U60" s="207"/>
      <c r="V60" s="207"/>
      <c r="W60" s="207"/>
      <c r="X60" s="207"/>
      <c r="Y60" s="207"/>
      <c r="Z60" s="207"/>
      <c r="AA60" s="207"/>
      <c r="AB60" s="207"/>
      <c r="AC60" s="207"/>
      <c r="AD60" s="207"/>
      <c r="AE60" s="207"/>
      <c r="AF60" s="207"/>
      <c r="AG60" s="207"/>
      <c r="AH60" s="207"/>
      <c r="AI60" s="207"/>
      <c r="AJ60" s="207"/>
      <c r="AK60" s="207"/>
      <c r="AL60" s="207"/>
      <c r="AM60" s="207"/>
      <c r="AN60" s="207"/>
      <c r="AO60" s="207"/>
      <c r="AP60" s="207"/>
      <c r="AQ60" s="203"/>
      <c r="AR60" s="203"/>
      <c r="AS60" s="203"/>
      <c r="AT60" s="203"/>
      <c r="AU60" s="203"/>
      <c r="AV60" s="203"/>
      <c r="AW60" s="203"/>
      <c r="AX60" s="203"/>
      <c r="AY60" s="203"/>
    </row>
    <row r="61" spans="1:51" s="204" customFormat="1" ht="15.75" customHeight="1">
      <c r="A61" s="207"/>
      <c r="B61" s="207"/>
      <c r="C61" s="211"/>
      <c r="D61" s="212">
        <f>D54+D56+D58+D60</f>
        <v>0</v>
      </c>
      <c r="E61" s="212">
        <f t="shared" ref="E61:O61" si="13">E54+E56+E58+E60</f>
        <v>0</v>
      </c>
      <c r="F61" s="212">
        <f t="shared" si="13"/>
        <v>0</v>
      </c>
      <c r="G61" s="212">
        <f t="shared" si="13"/>
        <v>0</v>
      </c>
      <c r="H61" s="212">
        <f t="shared" si="13"/>
        <v>0</v>
      </c>
      <c r="I61" s="212">
        <f t="shared" si="13"/>
        <v>0</v>
      </c>
      <c r="J61" s="212">
        <f t="shared" si="13"/>
        <v>0</v>
      </c>
      <c r="K61" s="212">
        <f t="shared" si="13"/>
        <v>0</v>
      </c>
      <c r="L61" s="212">
        <f t="shared" si="13"/>
        <v>0</v>
      </c>
      <c r="M61" s="212">
        <f t="shared" si="13"/>
        <v>0</v>
      </c>
      <c r="N61" s="212">
        <f t="shared" si="13"/>
        <v>0</v>
      </c>
      <c r="O61" s="212">
        <f t="shared" si="13"/>
        <v>0</v>
      </c>
      <c r="P61" s="212">
        <f>P53+P55+P57+P59</f>
        <v>0.35000000000000009</v>
      </c>
      <c r="Q61" s="207"/>
      <c r="R61" s="207"/>
      <c r="S61" s="207"/>
      <c r="T61" s="207"/>
      <c r="U61" s="207"/>
      <c r="V61" s="207"/>
      <c r="W61" s="207"/>
      <c r="X61" s="207"/>
      <c r="Y61" s="207"/>
      <c r="Z61" s="207"/>
      <c r="AA61" s="207"/>
      <c r="AB61" s="207"/>
      <c r="AC61" s="207"/>
      <c r="AD61" s="207"/>
      <c r="AE61" s="207"/>
      <c r="AF61" s="207"/>
      <c r="AG61" s="207"/>
      <c r="AH61" s="207"/>
      <c r="AI61" s="207"/>
      <c r="AJ61" s="207"/>
      <c r="AK61" s="207"/>
      <c r="AL61" s="207"/>
      <c r="AM61" s="207"/>
      <c r="AN61" s="207"/>
      <c r="AO61" s="207"/>
      <c r="AP61" s="207"/>
      <c r="AQ61" s="203"/>
      <c r="AR61" s="203"/>
      <c r="AS61" s="203"/>
      <c r="AT61" s="203"/>
      <c r="AU61" s="203"/>
      <c r="AV61" s="203"/>
      <c r="AW61" s="203"/>
      <c r="AX61" s="203"/>
      <c r="AY61" s="203"/>
    </row>
    <row r="62" spans="1:51" s="204" customFormat="1" ht="15.75" customHeight="1">
      <c r="A62" s="203"/>
      <c r="B62" s="203"/>
      <c r="C62" s="213" t="s">
        <v>118</v>
      </c>
      <c r="D62" s="214">
        <f t="shared" ref="D62:O62" si="14">D61*$W$17/$B$34</f>
        <v>0</v>
      </c>
      <c r="E62" s="214">
        <f t="shared" si="14"/>
        <v>0</v>
      </c>
      <c r="F62" s="214">
        <f t="shared" si="14"/>
        <v>0</v>
      </c>
      <c r="G62" s="214">
        <f t="shared" si="14"/>
        <v>0</v>
      </c>
      <c r="H62" s="214">
        <f t="shared" si="14"/>
        <v>0</v>
      </c>
      <c r="I62" s="214">
        <f t="shared" si="14"/>
        <v>0</v>
      </c>
      <c r="J62" s="214">
        <f t="shared" si="14"/>
        <v>0</v>
      </c>
      <c r="K62" s="214">
        <f t="shared" si="14"/>
        <v>0</v>
      </c>
      <c r="L62" s="214">
        <f t="shared" si="14"/>
        <v>0</v>
      </c>
      <c r="M62" s="214">
        <f t="shared" si="14"/>
        <v>0</v>
      </c>
      <c r="N62" s="214">
        <f t="shared" si="14"/>
        <v>0</v>
      </c>
      <c r="O62" s="214">
        <f t="shared" si="14"/>
        <v>0</v>
      </c>
      <c r="P62" s="215">
        <f>SUM(D62:O62)</f>
        <v>0</v>
      </c>
      <c r="Q62" s="216"/>
      <c r="R62" s="203"/>
      <c r="S62" s="203"/>
      <c r="T62" s="203"/>
      <c r="U62" s="203"/>
      <c r="V62" s="203"/>
      <c r="W62" s="203"/>
      <c r="X62" s="203"/>
      <c r="Y62" s="203"/>
      <c r="Z62" s="203"/>
      <c r="AA62" s="203"/>
      <c r="AB62" s="203"/>
      <c r="AC62" s="203"/>
      <c r="AD62" s="203"/>
      <c r="AE62" s="203"/>
      <c r="AF62" s="203"/>
      <c r="AG62" s="203"/>
      <c r="AH62" s="203"/>
      <c r="AI62" s="203"/>
      <c r="AJ62" s="203"/>
      <c r="AK62" s="203"/>
      <c r="AL62" s="203"/>
      <c r="AM62" s="203"/>
      <c r="AN62" s="203"/>
      <c r="AO62" s="203"/>
      <c r="AP62" s="203"/>
      <c r="AQ62" s="203"/>
      <c r="AR62" s="203"/>
      <c r="AS62" s="203"/>
      <c r="AT62" s="203"/>
      <c r="AU62" s="203"/>
      <c r="AV62" s="203"/>
      <c r="AW62" s="203"/>
      <c r="AX62" s="203"/>
      <c r="AY62" s="203"/>
    </row>
  </sheetData>
  <mergeCells count="91">
    <mergeCell ref="C51:P51"/>
    <mergeCell ref="A53:A54"/>
    <mergeCell ref="B53:B54"/>
    <mergeCell ref="A59:A60"/>
    <mergeCell ref="B59:B60"/>
    <mergeCell ref="A55:A56"/>
    <mergeCell ref="B55:B56"/>
    <mergeCell ref="A57:A58"/>
    <mergeCell ref="B57:B58"/>
    <mergeCell ref="A51:A52"/>
    <mergeCell ref="B51:B52"/>
    <mergeCell ref="A42:A43"/>
    <mergeCell ref="B42:B43"/>
    <mergeCell ref="Q42:AD43"/>
    <mergeCell ref="A44:A45"/>
    <mergeCell ref="B44:B45"/>
    <mergeCell ref="Q44:AD45"/>
    <mergeCell ref="A36:A37"/>
    <mergeCell ref="B36:B37"/>
    <mergeCell ref="C36:P36"/>
    <mergeCell ref="Q36:AD36"/>
    <mergeCell ref="Q37:AD37"/>
    <mergeCell ref="A34:A35"/>
    <mergeCell ref="B34:B35"/>
    <mergeCell ref="Q34:V35"/>
    <mergeCell ref="W34:Z35"/>
    <mergeCell ref="AA34:AD35"/>
    <mergeCell ref="B30:C30"/>
    <mergeCell ref="Q30:AD30"/>
    <mergeCell ref="A31:AD31"/>
    <mergeCell ref="A32:A33"/>
    <mergeCell ref="B32:B33"/>
    <mergeCell ref="C32:C33"/>
    <mergeCell ref="D32:P32"/>
    <mergeCell ref="Q32:AD32"/>
    <mergeCell ref="Q33:V33"/>
    <mergeCell ref="W33:Z33"/>
    <mergeCell ref="AA33:AD33"/>
    <mergeCell ref="A28:A29"/>
    <mergeCell ref="B28:C29"/>
    <mergeCell ref="D28:O28"/>
    <mergeCell ref="P28:P29"/>
    <mergeCell ref="Q28:AD29"/>
    <mergeCell ref="A27:AD27"/>
    <mergeCell ref="A23:B23"/>
    <mergeCell ref="A25:B25"/>
    <mergeCell ref="AA15:AD15"/>
    <mergeCell ref="C16:AB16"/>
    <mergeCell ref="A17:B17"/>
    <mergeCell ref="C17:Q17"/>
    <mergeCell ref="R15:X15"/>
    <mergeCell ref="Y15:Z15"/>
    <mergeCell ref="W17:X17"/>
    <mergeCell ref="Y17:AB17"/>
    <mergeCell ref="A15:B15"/>
    <mergeCell ref="A24:B24"/>
    <mergeCell ref="A19:AD19"/>
    <mergeCell ref="Q20:AD20"/>
    <mergeCell ref="C20:P20"/>
    <mergeCell ref="M7:N7"/>
    <mergeCell ref="C15:K15"/>
    <mergeCell ref="A1:A4"/>
    <mergeCell ref="B1:AA1"/>
    <mergeCell ref="AB1:AD1"/>
    <mergeCell ref="B2:AA2"/>
    <mergeCell ref="AB2:AD2"/>
    <mergeCell ref="B3:AA4"/>
    <mergeCell ref="AB3:AD3"/>
    <mergeCell ref="AB4:AD4"/>
    <mergeCell ref="A22:B22"/>
    <mergeCell ref="AC17:AD17"/>
    <mergeCell ref="A7:B9"/>
    <mergeCell ref="C7:C9"/>
    <mergeCell ref="R17:V17"/>
    <mergeCell ref="C11:AD13"/>
    <mergeCell ref="L15:Q15"/>
    <mergeCell ref="A11:B13"/>
    <mergeCell ref="D7:H9"/>
    <mergeCell ref="I7:J9"/>
    <mergeCell ref="K7:L9"/>
    <mergeCell ref="O7:P7"/>
    <mergeCell ref="M8:N8"/>
    <mergeCell ref="O8:P8"/>
    <mergeCell ref="M9:N9"/>
    <mergeCell ref="O9:P9"/>
    <mergeCell ref="A38:A39"/>
    <mergeCell ref="B38:B39"/>
    <mergeCell ref="Q38:AD39"/>
    <mergeCell ref="A40:A41"/>
    <mergeCell ref="B40:B41"/>
    <mergeCell ref="Q40:AD41"/>
  </mergeCells>
  <dataValidations count="3">
    <dataValidation type="textLength" operator="lessThanOrEqual" allowBlank="1" showInputMessage="1" showErrorMessage="1" errorTitle="Máximo 2.000 caracteres" error="Máximo 2.000 caracteres" sqref="AA34 Q34 W34 Q38:AD45" xr:uid="{00000000-0002-0000-0200-000000000000}">
      <formula1>2000</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list" allowBlank="1" showInputMessage="1" showErrorMessage="1" sqref="C7:C9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WVK7:WVK9" xr:uid="{1EB3AD2E-3728-44BB-9ECC-F719FF4D6835}">
      <formula1>$C$21:$N$21</formula1>
    </dataValidation>
  </dataValidations>
  <printOptions horizontalCentered="1"/>
  <pageMargins left="0.19685039370078741" right="0.19685039370078741" top="0.19685039370078741" bottom="0.19685039370078741" header="0" footer="0"/>
  <pageSetup scale="22"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c r="A1" s="638"/>
      <c r="B1" s="641" t="s">
        <v>0</v>
      </c>
      <c r="C1" s="642"/>
      <c r="D1" s="642"/>
      <c r="E1" s="642"/>
      <c r="F1" s="642"/>
      <c r="G1" s="642"/>
      <c r="H1" s="642"/>
      <c r="I1" s="642"/>
      <c r="J1" s="642"/>
      <c r="K1" s="642"/>
      <c r="L1" s="642"/>
      <c r="M1" s="642"/>
      <c r="N1" s="642"/>
      <c r="O1" s="642"/>
      <c r="P1" s="642"/>
      <c r="Q1" s="642"/>
      <c r="R1" s="642"/>
      <c r="S1" s="642"/>
      <c r="T1" s="642"/>
      <c r="U1" s="642"/>
      <c r="V1" s="642"/>
      <c r="W1" s="642"/>
      <c r="X1" s="642"/>
      <c r="Y1" s="643"/>
      <c r="Z1" s="644" t="s">
        <v>1</v>
      </c>
      <c r="AA1" s="645"/>
      <c r="AB1" s="646"/>
    </row>
    <row r="2" spans="1:28" ht="30.75" customHeight="1">
      <c r="A2" s="639"/>
      <c r="B2" s="647" t="s">
        <v>2</v>
      </c>
      <c r="C2" s="648"/>
      <c r="D2" s="648"/>
      <c r="E2" s="648"/>
      <c r="F2" s="648"/>
      <c r="G2" s="648"/>
      <c r="H2" s="648"/>
      <c r="I2" s="648"/>
      <c r="J2" s="648"/>
      <c r="K2" s="648"/>
      <c r="L2" s="648"/>
      <c r="M2" s="648"/>
      <c r="N2" s="648"/>
      <c r="O2" s="648"/>
      <c r="P2" s="648"/>
      <c r="Q2" s="648"/>
      <c r="R2" s="648"/>
      <c r="S2" s="648"/>
      <c r="T2" s="648"/>
      <c r="U2" s="648"/>
      <c r="V2" s="648"/>
      <c r="W2" s="648"/>
      <c r="X2" s="648"/>
      <c r="Y2" s="649"/>
      <c r="Z2" s="785" t="s">
        <v>119</v>
      </c>
      <c r="AA2" s="786"/>
      <c r="AB2" s="787"/>
    </row>
    <row r="3" spans="1:28" ht="24" customHeight="1">
      <c r="A3" s="639"/>
      <c r="B3" s="618" t="s">
        <v>4</v>
      </c>
      <c r="C3" s="619"/>
      <c r="D3" s="619"/>
      <c r="E3" s="619"/>
      <c r="F3" s="619"/>
      <c r="G3" s="619"/>
      <c r="H3" s="619"/>
      <c r="I3" s="619"/>
      <c r="J3" s="619"/>
      <c r="K3" s="619"/>
      <c r="L3" s="619"/>
      <c r="M3" s="619"/>
      <c r="N3" s="619"/>
      <c r="O3" s="619"/>
      <c r="P3" s="619"/>
      <c r="Q3" s="619"/>
      <c r="R3" s="619"/>
      <c r="S3" s="619"/>
      <c r="T3" s="619"/>
      <c r="U3" s="619"/>
      <c r="V3" s="619"/>
      <c r="W3" s="619"/>
      <c r="X3" s="619"/>
      <c r="Y3" s="620"/>
      <c r="Z3" s="785" t="s">
        <v>120</v>
      </c>
      <c r="AA3" s="786"/>
      <c r="AB3" s="787"/>
    </row>
    <row r="4" spans="1:28" ht="15.75" customHeight="1" thickBot="1">
      <c r="A4" s="640"/>
      <c r="B4" s="621"/>
      <c r="C4" s="622"/>
      <c r="D4" s="622"/>
      <c r="E4" s="622"/>
      <c r="F4" s="622"/>
      <c r="G4" s="622"/>
      <c r="H4" s="622"/>
      <c r="I4" s="622"/>
      <c r="J4" s="622"/>
      <c r="K4" s="622"/>
      <c r="L4" s="622"/>
      <c r="M4" s="622"/>
      <c r="N4" s="622"/>
      <c r="O4" s="622"/>
      <c r="P4" s="622"/>
      <c r="Q4" s="622"/>
      <c r="R4" s="622"/>
      <c r="S4" s="622"/>
      <c r="T4" s="622"/>
      <c r="U4" s="622"/>
      <c r="V4" s="622"/>
      <c r="W4" s="622"/>
      <c r="X4" s="622"/>
      <c r="Y4" s="623"/>
      <c r="Z4" s="653" t="s">
        <v>6</v>
      </c>
      <c r="AA4" s="654"/>
      <c r="AB4" s="655"/>
    </row>
    <row r="5" spans="1:28" ht="9" customHeight="1" thickBot="1">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c r="A7" s="609" t="s">
        <v>14</v>
      </c>
      <c r="B7" s="610"/>
      <c r="C7" s="615"/>
      <c r="D7" s="616"/>
      <c r="E7" s="616"/>
      <c r="F7" s="616"/>
      <c r="G7" s="616"/>
      <c r="H7" s="616"/>
      <c r="I7" s="616"/>
      <c r="J7" s="616"/>
      <c r="K7" s="617"/>
      <c r="L7" s="62"/>
      <c r="M7" s="63"/>
      <c r="N7" s="63"/>
      <c r="O7" s="63"/>
      <c r="P7" s="63"/>
      <c r="Q7" s="64"/>
      <c r="R7" s="753" t="s">
        <v>8</v>
      </c>
      <c r="S7" s="754"/>
      <c r="T7" s="755"/>
      <c r="U7" s="828" t="s">
        <v>121</v>
      </c>
      <c r="V7" s="631"/>
      <c r="W7" s="753" t="s">
        <v>9</v>
      </c>
      <c r="X7" s="755"/>
      <c r="Y7" s="636" t="s">
        <v>10</v>
      </c>
      <c r="Z7" s="637"/>
      <c r="AA7" s="599"/>
      <c r="AB7" s="600"/>
    </row>
    <row r="8" spans="1:28" ht="15" customHeight="1">
      <c r="A8" s="611"/>
      <c r="B8" s="612"/>
      <c r="C8" s="618"/>
      <c r="D8" s="619"/>
      <c r="E8" s="619"/>
      <c r="F8" s="619"/>
      <c r="G8" s="619"/>
      <c r="H8" s="619"/>
      <c r="I8" s="619"/>
      <c r="J8" s="619"/>
      <c r="K8" s="620"/>
      <c r="L8" s="62"/>
      <c r="M8" s="63"/>
      <c r="N8" s="63"/>
      <c r="O8" s="63"/>
      <c r="P8" s="63"/>
      <c r="Q8" s="64"/>
      <c r="R8" s="580"/>
      <c r="S8" s="581"/>
      <c r="T8" s="582"/>
      <c r="U8" s="632"/>
      <c r="V8" s="633"/>
      <c r="W8" s="580"/>
      <c r="X8" s="582"/>
      <c r="Y8" s="601" t="s">
        <v>12</v>
      </c>
      <c r="Z8" s="602"/>
      <c r="AA8" s="603"/>
      <c r="AB8" s="604"/>
    </row>
    <row r="9" spans="1:28" ht="15" customHeight="1" thickBot="1">
      <c r="A9" s="613"/>
      <c r="B9" s="614"/>
      <c r="C9" s="621"/>
      <c r="D9" s="622"/>
      <c r="E9" s="622"/>
      <c r="F9" s="622"/>
      <c r="G9" s="622"/>
      <c r="H9" s="622"/>
      <c r="I9" s="622"/>
      <c r="J9" s="622"/>
      <c r="K9" s="623"/>
      <c r="L9" s="62"/>
      <c r="M9" s="63"/>
      <c r="N9" s="63"/>
      <c r="O9" s="63"/>
      <c r="P9" s="63"/>
      <c r="Q9" s="64"/>
      <c r="R9" s="788"/>
      <c r="S9" s="789"/>
      <c r="T9" s="790"/>
      <c r="U9" s="634"/>
      <c r="V9" s="635"/>
      <c r="W9" s="788"/>
      <c r="X9" s="790"/>
      <c r="Y9" s="605" t="s">
        <v>13</v>
      </c>
      <c r="Z9" s="606"/>
      <c r="AA9" s="791"/>
      <c r="AB9" s="792"/>
    </row>
    <row r="10" spans="1:28" ht="9" customHeight="1" thickBot="1">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c r="A11" s="586" t="s">
        <v>16</v>
      </c>
      <c r="B11" s="587"/>
      <c r="C11" s="829"/>
      <c r="D11" s="830"/>
      <c r="E11" s="830"/>
      <c r="F11" s="830"/>
      <c r="G11" s="830"/>
      <c r="H11" s="830"/>
      <c r="I11" s="830"/>
      <c r="J11" s="830"/>
      <c r="K11" s="831"/>
      <c r="L11" s="72"/>
      <c r="M11" s="577" t="s">
        <v>18</v>
      </c>
      <c r="N11" s="578"/>
      <c r="O11" s="578"/>
      <c r="P11" s="578"/>
      <c r="Q11" s="579"/>
      <c r="R11" s="596"/>
      <c r="S11" s="597"/>
      <c r="T11" s="597"/>
      <c r="U11" s="597"/>
      <c r="V11" s="598"/>
      <c r="W11" s="577" t="s">
        <v>20</v>
      </c>
      <c r="X11" s="579"/>
      <c r="Y11" s="593"/>
      <c r="Z11" s="594"/>
      <c r="AA11" s="594"/>
      <c r="AB11" s="595"/>
    </row>
    <row r="12" spans="1:28" ht="9" customHeight="1" thickBot="1">
      <c r="A12" s="59"/>
      <c r="B12" s="54"/>
      <c r="C12" s="585"/>
      <c r="D12" s="585"/>
      <c r="E12" s="585"/>
      <c r="F12" s="585"/>
      <c r="G12" s="585"/>
      <c r="H12" s="585"/>
      <c r="I12" s="585"/>
      <c r="J12" s="585"/>
      <c r="K12" s="585"/>
      <c r="L12" s="585"/>
      <c r="M12" s="585"/>
      <c r="N12" s="585"/>
      <c r="O12" s="585"/>
      <c r="P12" s="585"/>
      <c r="Q12" s="585"/>
      <c r="R12" s="585"/>
      <c r="S12" s="585"/>
      <c r="T12" s="585"/>
      <c r="U12" s="585"/>
      <c r="V12" s="585"/>
      <c r="W12" s="585"/>
      <c r="X12" s="585"/>
      <c r="Y12" s="585"/>
      <c r="Z12" s="585"/>
      <c r="AA12" s="73"/>
      <c r="AB12" s="74"/>
    </row>
    <row r="13" spans="1:28" s="76" customFormat="1" ht="37.5" customHeight="1" thickBot="1">
      <c r="A13" s="586" t="s">
        <v>22</v>
      </c>
      <c r="B13" s="587"/>
      <c r="C13" s="588"/>
      <c r="D13" s="589"/>
      <c r="E13" s="589"/>
      <c r="F13" s="589"/>
      <c r="G13" s="589"/>
      <c r="H13" s="589"/>
      <c r="I13" s="589"/>
      <c r="J13" s="589"/>
      <c r="K13" s="589"/>
      <c r="L13" s="589"/>
      <c r="M13" s="589"/>
      <c r="N13" s="589"/>
      <c r="O13" s="589"/>
      <c r="P13" s="589"/>
      <c r="Q13" s="590"/>
      <c r="R13" s="54"/>
      <c r="S13" s="796" t="s">
        <v>122</v>
      </c>
      <c r="T13" s="796"/>
      <c r="U13" s="75"/>
      <c r="V13" s="795" t="s">
        <v>25</v>
      </c>
      <c r="W13" s="796"/>
      <c r="X13" s="796"/>
      <c r="Y13" s="796"/>
      <c r="Z13" s="54"/>
      <c r="AA13" s="575"/>
      <c r="AB13" s="576"/>
    </row>
    <row r="14" spans="1:28" ht="16.5" customHeight="1" thickBot="1">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c r="A15" s="609" t="s">
        <v>7</v>
      </c>
      <c r="B15" s="610"/>
      <c r="C15" s="808" t="s">
        <v>123</v>
      </c>
      <c r="D15" s="80"/>
      <c r="E15" s="80"/>
      <c r="F15" s="80"/>
      <c r="G15" s="80"/>
      <c r="H15" s="80"/>
      <c r="I15" s="80"/>
      <c r="J15" s="70"/>
      <c r="K15" s="81"/>
      <c r="L15" s="70"/>
      <c r="M15" s="60"/>
      <c r="N15" s="60"/>
      <c r="O15" s="60"/>
      <c r="P15" s="60"/>
      <c r="Q15" s="797" t="s">
        <v>26</v>
      </c>
      <c r="R15" s="798"/>
      <c r="S15" s="798"/>
      <c r="T15" s="798"/>
      <c r="U15" s="798"/>
      <c r="V15" s="798"/>
      <c r="W15" s="798"/>
      <c r="X15" s="798"/>
      <c r="Y15" s="798"/>
      <c r="Z15" s="798"/>
      <c r="AA15" s="798"/>
      <c r="AB15" s="799"/>
    </row>
    <row r="16" spans="1:28" ht="35.25" customHeight="1" thickBot="1">
      <c r="A16" s="613"/>
      <c r="B16" s="614"/>
      <c r="C16" s="809"/>
      <c r="D16" s="80"/>
      <c r="E16" s="80"/>
      <c r="F16" s="80"/>
      <c r="G16" s="80"/>
      <c r="H16" s="80"/>
      <c r="I16" s="80"/>
      <c r="J16" s="70"/>
      <c r="K16" s="70"/>
      <c r="L16" s="70"/>
      <c r="M16" s="60"/>
      <c r="N16" s="60"/>
      <c r="O16" s="60"/>
      <c r="P16" s="60"/>
      <c r="Q16" s="822" t="s">
        <v>124</v>
      </c>
      <c r="R16" s="823"/>
      <c r="S16" s="823"/>
      <c r="T16" s="823"/>
      <c r="U16" s="823"/>
      <c r="V16" s="824"/>
      <c r="W16" s="826" t="s">
        <v>125</v>
      </c>
      <c r="X16" s="823"/>
      <c r="Y16" s="823"/>
      <c r="Z16" s="823"/>
      <c r="AA16" s="823"/>
      <c r="AB16" s="827"/>
    </row>
    <row r="17" spans="1:39" ht="27" customHeight="1">
      <c r="A17" s="82"/>
      <c r="B17" s="60"/>
      <c r="C17" s="60"/>
      <c r="D17" s="80"/>
      <c r="E17" s="80"/>
      <c r="F17" s="80"/>
      <c r="G17" s="80"/>
      <c r="H17" s="80"/>
      <c r="I17" s="80"/>
      <c r="J17" s="80"/>
      <c r="K17" s="80"/>
      <c r="L17" s="80"/>
      <c r="M17" s="60"/>
      <c r="N17" s="60"/>
      <c r="O17" s="60"/>
      <c r="P17" s="60"/>
      <c r="Q17" s="835" t="s">
        <v>126</v>
      </c>
      <c r="R17" s="836"/>
      <c r="S17" s="780"/>
      <c r="T17" s="781" t="s">
        <v>127</v>
      </c>
      <c r="U17" s="820"/>
      <c r="V17" s="821"/>
      <c r="W17" s="779" t="s">
        <v>126</v>
      </c>
      <c r="X17" s="780"/>
      <c r="Y17" s="779" t="s">
        <v>128</v>
      </c>
      <c r="Z17" s="780"/>
      <c r="AA17" s="781" t="s">
        <v>129</v>
      </c>
      <c r="AB17" s="782"/>
      <c r="AC17" s="83"/>
      <c r="AD17" s="83"/>
    </row>
    <row r="18" spans="1:39" ht="27" customHeight="1">
      <c r="A18" s="82"/>
      <c r="B18" s="60"/>
      <c r="C18" s="60"/>
      <c r="D18" s="80"/>
      <c r="E18" s="80"/>
      <c r="F18" s="80"/>
      <c r="G18" s="80"/>
      <c r="H18" s="80"/>
      <c r="I18" s="80"/>
      <c r="J18" s="80"/>
      <c r="K18" s="80"/>
      <c r="L18" s="80"/>
      <c r="M18" s="60"/>
      <c r="N18" s="60"/>
      <c r="O18" s="60"/>
      <c r="P18" s="60"/>
      <c r="Q18" s="156"/>
      <c r="R18" s="157"/>
      <c r="S18" s="158"/>
      <c r="T18" s="781"/>
      <c r="U18" s="820"/>
      <c r="V18" s="821"/>
      <c r="W18" s="137"/>
      <c r="X18" s="138"/>
      <c r="Y18" s="137"/>
      <c r="Z18" s="138"/>
      <c r="AA18" s="139"/>
      <c r="AB18" s="140"/>
      <c r="AC18" s="83"/>
      <c r="AD18" s="83"/>
    </row>
    <row r="19" spans="1:39" ht="18" customHeight="1" thickBot="1">
      <c r="A19" s="59"/>
      <c r="B19" s="54"/>
      <c r="C19" s="80"/>
      <c r="D19" s="80"/>
      <c r="E19" s="80"/>
      <c r="F19" s="80"/>
      <c r="G19" s="84"/>
      <c r="H19" s="84"/>
      <c r="I19" s="84"/>
      <c r="J19" s="84"/>
      <c r="K19" s="84"/>
      <c r="L19" s="84"/>
      <c r="M19" s="80"/>
      <c r="N19" s="80"/>
      <c r="O19" s="80"/>
      <c r="P19" s="80"/>
      <c r="Q19" s="832"/>
      <c r="R19" s="833"/>
      <c r="S19" s="834"/>
      <c r="T19" s="839"/>
      <c r="U19" s="833"/>
      <c r="V19" s="834"/>
      <c r="W19" s="800"/>
      <c r="X19" s="801"/>
      <c r="Y19" s="783"/>
      <c r="Z19" s="784"/>
      <c r="AA19" s="837"/>
      <c r="AB19" s="838"/>
      <c r="AC19" s="3"/>
      <c r="AD19" s="3"/>
    </row>
    <row r="20" spans="1:39" ht="7.5" customHeight="1" thickBot="1">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c r="A21" s="565" t="s">
        <v>47</v>
      </c>
      <c r="B21" s="566"/>
      <c r="C21" s="567"/>
      <c r="D21" s="567"/>
      <c r="E21" s="567"/>
      <c r="F21" s="567"/>
      <c r="G21" s="567"/>
      <c r="H21" s="567"/>
      <c r="I21" s="567"/>
      <c r="J21" s="567"/>
      <c r="K21" s="567"/>
      <c r="L21" s="567"/>
      <c r="M21" s="567"/>
      <c r="N21" s="567"/>
      <c r="O21" s="567"/>
      <c r="P21" s="567"/>
      <c r="Q21" s="567"/>
      <c r="R21" s="567"/>
      <c r="S21" s="567"/>
      <c r="T21" s="567"/>
      <c r="U21" s="567"/>
      <c r="V21" s="567"/>
      <c r="W21" s="567"/>
      <c r="X21" s="567"/>
      <c r="Y21" s="567"/>
      <c r="Z21" s="567"/>
      <c r="AA21" s="567"/>
      <c r="AB21" s="568"/>
    </row>
    <row r="22" spans="1:39" ht="15" customHeight="1">
      <c r="A22" s="569" t="s">
        <v>48</v>
      </c>
      <c r="B22" s="571" t="s">
        <v>49</v>
      </c>
      <c r="C22" s="572"/>
      <c r="D22" s="562" t="s">
        <v>130</v>
      </c>
      <c r="E22" s="573"/>
      <c r="F22" s="573"/>
      <c r="G22" s="573"/>
      <c r="H22" s="573"/>
      <c r="I22" s="573"/>
      <c r="J22" s="573"/>
      <c r="K22" s="573"/>
      <c r="L22" s="573"/>
      <c r="M22" s="573"/>
      <c r="N22" s="573"/>
      <c r="O22" s="574"/>
      <c r="P22" s="551" t="s">
        <v>41</v>
      </c>
      <c r="Q22" s="551" t="s">
        <v>51</v>
      </c>
      <c r="R22" s="551"/>
      <c r="S22" s="551"/>
      <c r="T22" s="551"/>
      <c r="U22" s="551"/>
      <c r="V22" s="551"/>
      <c r="W22" s="551"/>
      <c r="X22" s="551"/>
      <c r="Y22" s="551"/>
      <c r="Z22" s="551"/>
      <c r="AA22" s="551"/>
      <c r="AB22" s="552"/>
    </row>
    <row r="23" spans="1:39" ht="27" customHeight="1">
      <c r="A23" s="570"/>
      <c r="B23" s="535"/>
      <c r="C23" s="561"/>
      <c r="D23" s="88" t="s">
        <v>29</v>
      </c>
      <c r="E23" s="88" t="s">
        <v>30</v>
      </c>
      <c r="F23" s="88" t="s">
        <v>31</v>
      </c>
      <c r="G23" s="88" t="s">
        <v>32</v>
      </c>
      <c r="H23" s="88" t="s">
        <v>33</v>
      </c>
      <c r="I23" s="88" t="s">
        <v>34</v>
      </c>
      <c r="J23" s="88" t="s">
        <v>35</v>
      </c>
      <c r="K23" s="88" t="s">
        <v>36</v>
      </c>
      <c r="L23" s="88" t="s">
        <v>37</v>
      </c>
      <c r="M23" s="88" t="s">
        <v>38</v>
      </c>
      <c r="N23" s="88" t="s">
        <v>39</v>
      </c>
      <c r="O23" s="88" t="s">
        <v>40</v>
      </c>
      <c r="P23" s="574"/>
      <c r="Q23" s="551"/>
      <c r="R23" s="551"/>
      <c r="S23" s="551"/>
      <c r="T23" s="551"/>
      <c r="U23" s="551"/>
      <c r="V23" s="551"/>
      <c r="W23" s="551"/>
      <c r="X23" s="551"/>
      <c r="Y23" s="551"/>
      <c r="Z23" s="551"/>
      <c r="AA23" s="551"/>
      <c r="AB23" s="552"/>
    </row>
    <row r="24" spans="1:39" ht="42" customHeight="1" thickBot="1">
      <c r="A24" s="85"/>
      <c r="B24" s="669"/>
      <c r="C24" s="670"/>
      <c r="D24" s="89"/>
      <c r="E24" s="89"/>
      <c r="F24" s="89"/>
      <c r="G24" s="89"/>
      <c r="H24" s="89"/>
      <c r="I24" s="89"/>
      <c r="J24" s="89"/>
      <c r="K24" s="89"/>
      <c r="L24" s="89"/>
      <c r="M24" s="89"/>
      <c r="N24" s="89"/>
      <c r="O24" s="89"/>
      <c r="P24" s="86">
        <f>SUM(D24:O24)</f>
        <v>0</v>
      </c>
      <c r="Q24" s="777" t="s">
        <v>52</v>
      </c>
      <c r="R24" s="777"/>
      <c r="S24" s="777"/>
      <c r="T24" s="777"/>
      <c r="U24" s="777"/>
      <c r="V24" s="777"/>
      <c r="W24" s="777"/>
      <c r="X24" s="777"/>
      <c r="Y24" s="777"/>
      <c r="Z24" s="777"/>
      <c r="AA24" s="777"/>
      <c r="AB24" s="778"/>
    </row>
    <row r="25" spans="1:39" ht="21.95" customHeight="1">
      <c r="A25" s="557" t="s">
        <v>53</v>
      </c>
      <c r="B25" s="558"/>
      <c r="C25" s="558"/>
      <c r="D25" s="558"/>
      <c r="E25" s="558"/>
      <c r="F25" s="558"/>
      <c r="G25" s="558"/>
      <c r="H25" s="558"/>
      <c r="I25" s="558"/>
      <c r="J25" s="558"/>
      <c r="K25" s="558"/>
      <c r="L25" s="558"/>
      <c r="M25" s="558"/>
      <c r="N25" s="558"/>
      <c r="O25" s="558"/>
      <c r="P25" s="558"/>
      <c r="Q25" s="558"/>
      <c r="R25" s="558"/>
      <c r="S25" s="558"/>
      <c r="T25" s="558"/>
      <c r="U25" s="558"/>
      <c r="V25" s="558"/>
      <c r="W25" s="558"/>
      <c r="X25" s="558"/>
      <c r="Y25" s="558"/>
      <c r="Z25" s="558"/>
      <c r="AA25" s="558"/>
      <c r="AB25" s="559"/>
    </row>
    <row r="26" spans="1:39" ht="23.1" customHeight="1">
      <c r="A26" s="550" t="s">
        <v>54</v>
      </c>
      <c r="B26" s="551" t="s">
        <v>55</v>
      </c>
      <c r="C26" s="551" t="s">
        <v>49</v>
      </c>
      <c r="D26" s="551" t="s">
        <v>56</v>
      </c>
      <c r="E26" s="551"/>
      <c r="F26" s="551"/>
      <c r="G26" s="551"/>
      <c r="H26" s="551"/>
      <c r="I26" s="551"/>
      <c r="J26" s="551"/>
      <c r="K26" s="551"/>
      <c r="L26" s="551"/>
      <c r="M26" s="551"/>
      <c r="N26" s="551"/>
      <c r="O26" s="551"/>
      <c r="P26" s="551"/>
      <c r="Q26" s="551" t="s">
        <v>57</v>
      </c>
      <c r="R26" s="551"/>
      <c r="S26" s="551"/>
      <c r="T26" s="551"/>
      <c r="U26" s="551"/>
      <c r="V26" s="551"/>
      <c r="W26" s="551"/>
      <c r="X26" s="551"/>
      <c r="Y26" s="551"/>
      <c r="Z26" s="551"/>
      <c r="AA26" s="551"/>
      <c r="AB26" s="552"/>
      <c r="AE26" s="87"/>
      <c r="AF26" s="87"/>
      <c r="AG26" s="87"/>
      <c r="AH26" s="87"/>
      <c r="AI26" s="87"/>
      <c r="AJ26" s="87"/>
      <c r="AK26" s="87"/>
      <c r="AL26" s="87"/>
      <c r="AM26" s="87"/>
    </row>
    <row r="27" spans="1:39" ht="23.1" customHeight="1">
      <c r="A27" s="550"/>
      <c r="B27" s="551"/>
      <c r="C27" s="560"/>
      <c r="D27" s="88" t="s">
        <v>29</v>
      </c>
      <c r="E27" s="88" t="s">
        <v>30</v>
      </c>
      <c r="F27" s="88" t="s">
        <v>31</v>
      </c>
      <c r="G27" s="88" t="s">
        <v>32</v>
      </c>
      <c r="H27" s="88" t="s">
        <v>33</v>
      </c>
      <c r="I27" s="88" t="s">
        <v>34</v>
      </c>
      <c r="J27" s="88" t="s">
        <v>35</v>
      </c>
      <c r="K27" s="88" t="s">
        <v>36</v>
      </c>
      <c r="L27" s="88" t="s">
        <v>37</v>
      </c>
      <c r="M27" s="88" t="s">
        <v>38</v>
      </c>
      <c r="N27" s="88" t="s">
        <v>39</v>
      </c>
      <c r="O27" s="88" t="s">
        <v>40</v>
      </c>
      <c r="P27" s="88" t="s">
        <v>41</v>
      </c>
      <c r="Q27" s="535" t="s">
        <v>58</v>
      </c>
      <c r="R27" s="536"/>
      <c r="S27" s="536"/>
      <c r="T27" s="561"/>
      <c r="U27" s="535" t="s">
        <v>59</v>
      </c>
      <c r="V27" s="536"/>
      <c r="W27" s="536"/>
      <c r="X27" s="561"/>
      <c r="Y27" s="535" t="s">
        <v>60</v>
      </c>
      <c r="Z27" s="536"/>
      <c r="AA27" s="536"/>
      <c r="AB27" s="537"/>
      <c r="AE27" s="87"/>
      <c r="AF27" s="87"/>
      <c r="AG27" s="87"/>
      <c r="AH27" s="87"/>
      <c r="AI27" s="87"/>
      <c r="AJ27" s="87"/>
      <c r="AK27" s="87"/>
      <c r="AL27" s="87"/>
      <c r="AM27" s="87"/>
    </row>
    <row r="28" spans="1:39" ht="33" customHeight="1">
      <c r="A28" s="775"/>
      <c r="B28" s="825"/>
      <c r="C28" s="90" t="s">
        <v>61</v>
      </c>
      <c r="D28" s="89"/>
      <c r="E28" s="89"/>
      <c r="F28" s="89"/>
      <c r="G28" s="89"/>
      <c r="H28" s="89"/>
      <c r="I28" s="89"/>
      <c r="J28" s="89"/>
      <c r="K28" s="89"/>
      <c r="L28" s="89"/>
      <c r="M28" s="89"/>
      <c r="N28" s="89"/>
      <c r="O28" s="89"/>
      <c r="P28" s="154">
        <f>SUM(D28:O28)</f>
        <v>0</v>
      </c>
      <c r="Q28" s="542" t="s">
        <v>62</v>
      </c>
      <c r="R28" s="543"/>
      <c r="S28" s="543"/>
      <c r="T28" s="544"/>
      <c r="U28" s="542" t="s">
        <v>63</v>
      </c>
      <c r="V28" s="543"/>
      <c r="W28" s="543"/>
      <c r="X28" s="544"/>
      <c r="Y28" s="542" t="s">
        <v>64</v>
      </c>
      <c r="Z28" s="543"/>
      <c r="AA28" s="543"/>
      <c r="AB28" s="548"/>
      <c r="AE28" s="87"/>
      <c r="AF28" s="87"/>
      <c r="AG28" s="87"/>
      <c r="AH28" s="87"/>
      <c r="AI28" s="87"/>
      <c r="AJ28" s="87"/>
      <c r="AK28" s="87"/>
      <c r="AL28" s="87"/>
      <c r="AM28" s="87"/>
    </row>
    <row r="29" spans="1:39" ht="33.950000000000003" customHeight="1" thickBot="1">
      <c r="A29" s="776"/>
      <c r="B29" s="675"/>
      <c r="C29" s="91" t="s">
        <v>65</v>
      </c>
      <c r="D29" s="92"/>
      <c r="E29" s="92"/>
      <c r="F29" s="92"/>
      <c r="G29" s="93"/>
      <c r="H29" s="93"/>
      <c r="I29" s="93"/>
      <c r="J29" s="93"/>
      <c r="K29" s="93"/>
      <c r="L29" s="93"/>
      <c r="M29" s="93"/>
      <c r="N29" s="93"/>
      <c r="O29" s="93"/>
      <c r="P29" s="155">
        <f>SUM(D29:O29)</f>
        <v>0</v>
      </c>
      <c r="Q29" s="682"/>
      <c r="R29" s="683"/>
      <c r="S29" s="683"/>
      <c r="T29" s="684"/>
      <c r="U29" s="682"/>
      <c r="V29" s="683"/>
      <c r="W29" s="683"/>
      <c r="X29" s="684"/>
      <c r="Y29" s="682"/>
      <c r="Z29" s="683"/>
      <c r="AA29" s="683"/>
      <c r="AB29" s="685"/>
      <c r="AC29" s="49"/>
      <c r="AE29" s="87"/>
      <c r="AF29" s="87"/>
      <c r="AG29" s="87"/>
      <c r="AH29" s="87"/>
      <c r="AI29" s="87"/>
      <c r="AJ29" s="87"/>
      <c r="AK29" s="87"/>
      <c r="AL29" s="87"/>
      <c r="AM29" s="87"/>
    </row>
    <row r="30" spans="1:39" ht="26.1" customHeight="1">
      <c r="A30" s="583" t="s">
        <v>66</v>
      </c>
      <c r="B30" s="695" t="s">
        <v>67</v>
      </c>
      <c r="C30" s="697" t="s">
        <v>68</v>
      </c>
      <c r="D30" s="697"/>
      <c r="E30" s="697"/>
      <c r="F30" s="697"/>
      <c r="G30" s="697"/>
      <c r="H30" s="697"/>
      <c r="I30" s="697"/>
      <c r="J30" s="697"/>
      <c r="K30" s="697"/>
      <c r="L30" s="697"/>
      <c r="M30" s="697"/>
      <c r="N30" s="697"/>
      <c r="O30" s="697"/>
      <c r="P30" s="697"/>
      <c r="Q30" s="584" t="s">
        <v>69</v>
      </c>
      <c r="R30" s="698"/>
      <c r="S30" s="698"/>
      <c r="T30" s="698"/>
      <c r="U30" s="698"/>
      <c r="V30" s="698"/>
      <c r="W30" s="698"/>
      <c r="X30" s="698"/>
      <c r="Y30" s="698"/>
      <c r="Z30" s="698"/>
      <c r="AA30" s="698"/>
      <c r="AB30" s="699"/>
      <c r="AE30" s="87"/>
      <c r="AF30" s="87"/>
      <c r="AG30" s="87"/>
      <c r="AH30" s="87"/>
      <c r="AI30" s="87"/>
      <c r="AJ30" s="87"/>
      <c r="AK30" s="87"/>
      <c r="AL30" s="87"/>
      <c r="AM30" s="87"/>
    </row>
    <row r="31" spans="1:39" ht="26.1" customHeight="1">
      <c r="A31" s="550"/>
      <c r="B31" s="696"/>
      <c r="C31" s="88" t="s">
        <v>70</v>
      </c>
      <c r="D31" s="88" t="s">
        <v>71</v>
      </c>
      <c r="E31" s="88" t="s">
        <v>72</v>
      </c>
      <c r="F31" s="88" t="s">
        <v>73</v>
      </c>
      <c r="G31" s="88" t="s">
        <v>74</v>
      </c>
      <c r="H31" s="88" t="s">
        <v>75</v>
      </c>
      <c r="I31" s="88" t="s">
        <v>76</v>
      </c>
      <c r="J31" s="88" t="s">
        <v>77</v>
      </c>
      <c r="K31" s="88" t="s">
        <v>78</v>
      </c>
      <c r="L31" s="88" t="s">
        <v>79</v>
      </c>
      <c r="M31" s="88" t="s">
        <v>80</v>
      </c>
      <c r="N31" s="88" t="s">
        <v>81</v>
      </c>
      <c r="O31" s="88" t="s">
        <v>82</v>
      </c>
      <c r="P31" s="88" t="s">
        <v>83</v>
      </c>
      <c r="Q31" s="562" t="s">
        <v>84</v>
      </c>
      <c r="R31" s="573"/>
      <c r="S31" s="573"/>
      <c r="T31" s="573"/>
      <c r="U31" s="573"/>
      <c r="V31" s="573"/>
      <c r="W31" s="573"/>
      <c r="X31" s="573"/>
      <c r="Y31" s="573"/>
      <c r="Z31" s="573"/>
      <c r="AA31" s="573"/>
      <c r="AB31" s="700"/>
      <c r="AE31" s="94"/>
      <c r="AF31" s="94"/>
      <c r="AG31" s="94"/>
      <c r="AH31" s="94"/>
      <c r="AI31" s="94"/>
      <c r="AJ31" s="94"/>
      <c r="AK31" s="94"/>
      <c r="AL31" s="94"/>
      <c r="AM31" s="94"/>
    </row>
    <row r="32" spans="1:39" ht="28.5" customHeight="1">
      <c r="A32" s="773"/>
      <c r="B32" s="770"/>
      <c r="C32" s="90" t="s">
        <v>61</v>
      </c>
      <c r="D32" s="95"/>
      <c r="E32" s="95"/>
      <c r="F32" s="95"/>
      <c r="G32" s="95"/>
      <c r="H32" s="95"/>
      <c r="I32" s="95"/>
      <c r="J32" s="95"/>
      <c r="K32" s="95"/>
      <c r="L32" s="95"/>
      <c r="M32" s="95"/>
      <c r="N32" s="95"/>
      <c r="O32" s="95"/>
      <c r="P32" s="96">
        <f t="shared" ref="P32:P39" si="0">SUM(D32:O32)</f>
        <v>0</v>
      </c>
      <c r="Q32" s="802" t="s">
        <v>94</v>
      </c>
      <c r="R32" s="803"/>
      <c r="S32" s="803"/>
      <c r="T32" s="803"/>
      <c r="U32" s="803"/>
      <c r="V32" s="803"/>
      <c r="W32" s="803"/>
      <c r="X32" s="803"/>
      <c r="Y32" s="803"/>
      <c r="Z32" s="803"/>
      <c r="AA32" s="803"/>
      <c r="AB32" s="804"/>
      <c r="AC32" s="97"/>
      <c r="AE32" s="98"/>
      <c r="AF32" s="98"/>
      <c r="AG32" s="98"/>
      <c r="AH32" s="98"/>
      <c r="AI32" s="98"/>
      <c r="AJ32" s="98"/>
      <c r="AK32" s="98"/>
      <c r="AL32" s="98"/>
      <c r="AM32" s="98"/>
    </row>
    <row r="33" spans="1:29" ht="28.5" customHeight="1">
      <c r="A33" s="774"/>
      <c r="B33" s="771"/>
      <c r="C33" s="99" t="s">
        <v>65</v>
      </c>
      <c r="D33" s="100"/>
      <c r="E33" s="100"/>
      <c r="F33" s="100"/>
      <c r="G33" s="100"/>
      <c r="H33" s="100"/>
      <c r="I33" s="100"/>
      <c r="J33" s="100"/>
      <c r="K33" s="100"/>
      <c r="L33" s="100"/>
      <c r="M33" s="100"/>
      <c r="N33" s="100"/>
      <c r="O33" s="100"/>
      <c r="P33" s="101">
        <f t="shared" si="0"/>
        <v>0</v>
      </c>
      <c r="Q33" s="805"/>
      <c r="R33" s="806"/>
      <c r="S33" s="806"/>
      <c r="T33" s="806"/>
      <c r="U33" s="806"/>
      <c r="V33" s="806"/>
      <c r="W33" s="806"/>
      <c r="X33" s="806"/>
      <c r="Y33" s="806"/>
      <c r="Z33" s="806"/>
      <c r="AA33" s="806"/>
      <c r="AB33" s="807"/>
      <c r="AC33" s="97"/>
    </row>
    <row r="34" spans="1:29" ht="28.5" customHeight="1">
      <c r="A34" s="774"/>
      <c r="B34" s="772"/>
      <c r="C34" s="102" t="s">
        <v>61</v>
      </c>
      <c r="D34" s="103"/>
      <c r="E34" s="103"/>
      <c r="F34" s="103"/>
      <c r="G34" s="103"/>
      <c r="H34" s="103"/>
      <c r="I34" s="103"/>
      <c r="J34" s="103"/>
      <c r="K34" s="103"/>
      <c r="L34" s="103"/>
      <c r="M34" s="103"/>
      <c r="N34" s="103"/>
      <c r="O34" s="103"/>
      <c r="P34" s="101">
        <f t="shared" si="0"/>
        <v>0</v>
      </c>
      <c r="Q34" s="811"/>
      <c r="R34" s="812"/>
      <c r="S34" s="812"/>
      <c r="T34" s="812"/>
      <c r="U34" s="812"/>
      <c r="V34" s="812"/>
      <c r="W34" s="812"/>
      <c r="X34" s="812"/>
      <c r="Y34" s="812"/>
      <c r="Z34" s="812"/>
      <c r="AA34" s="812"/>
      <c r="AB34" s="813"/>
      <c r="AC34" s="97"/>
    </row>
    <row r="35" spans="1:29" ht="28.5" customHeight="1">
      <c r="A35" s="774"/>
      <c r="B35" s="771"/>
      <c r="C35" s="99" t="s">
        <v>65</v>
      </c>
      <c r="D35" s="100"/>
      <c r="E35" s="100"/>
      <c r="F35" s="100"/>
      <c r="G35" s="100"/>
      <c r="H35" s="100"/>
      <c r="I35" s="100"/>
      <c r="J35" s="100"/>
      <c r="K35" s="100"/>
      <c r="L35" s="104"/>
      <c r="M35" s="104"/>
      <c r="N35" s="104"/>
      <c r="O35" s="104"/>
      <c r="P35" s="101">
        <f t="shared" si="0"/>
        <v>0</v>
      </c>
      <c r="Q35" s="817"/>
      <c r="R35" s="818"/>
      <c r="S35" s="818"/>
      <c r="T35" s="818"/>
      <c r="U35" s="818"/>
      <c r="V35" s="818"/>
      <c r="W35" s="818"/>
      <c r="X35" s="818"/>
      <c r="Y35" s="818"/>
      <c r="Z35" s="818"/>
      <c r="AA35" s="818"/>
      <c r="AB35" s="819"/>
      <c r="AC35" s="97"/>
    </row>
    <row r="36" spans="1:29" ht="28.5" customHeight="1">
      <c r="A36" s="768"/>
      <c r="B36" s="772"/>
      <c r="C36" s="102" t="s">
        <v>61</v>
      </c>
      <c r="D36" s="103"/>
      <c r="E36" s="103"/>
      <c r="F36" s="103"/>
      <c r="G36" s="103"/>
      <c r="H36" s="103"/>
      <c r="I36" s="103"/>
      <c r="J36" s="103"/>
      <c r="K36" s="103"/>
      <c r="L36" s="103"/>
      <c r="M36" s="103"/>
      <c r="N36" s="103"/>
      <c r="O36" s="103"/>
      <c r="P36" s="101">
        <f t="shared" si="0"/>
        <v>0</v>
      </c>
      <c r="Q36" s="811"/>
      <c r="R36" s="812"/>
      <c r="S36" s="812"/>
      <c r="T36" s="812"/>
      <c r="U36" s="812"/>
      <c r="V36" s="812"/>
      <c r="W36" s="812"/>
      <c r="X36" s="812"/>
      <c r="Y36" s="812"/>
      <c r="Z36" s="812"/>
      <c r="AA36" s="812"/>
      <c r="AB36" s="813"/>
      <c r="AC36" s="97"/>
    </row>
    <row r="37" spans="1:29" ht="28.5" customHeight="1">
      <c r="A37" s="769"/>
      <c r="B37" s="771"/>
      <c r="C37" s="99" t="s">
        <v>65</v>
      </c>
      <c r="D37" s="100"/>
      <c r="E37" s="100"/>
      <c r="F37" s="100"/>
      <c r="G37" s="100"/>
      <c r="H37" s="100"/>
      <c r="I37" s="100"/>
      <c r="J37" s="100"/>
      <c r="K37" s="100"/>
      <c r="L37" s="104"/>
      <c r="M37" s="104"/>
      <c r="N37" s="104"/>
      <c r="O37" s="104"/>
      <c r="P37" s="101">
        <f t="shared" si="0"/>
        <v>0</v>
      </c>
      <c r="Q37" s="817"/>
      <c r="R37" s="818"/>
      <c r="S37" s="818"/>
      <c r="T37" s="818"/>
      <c r="U37" s="818"/>
      <c r="V37" s="818"/>
      <c r="W37" s="818"/>
      <c r="X37" s="818"/>
      <c r="Y37" s="818"/>
      <c r="Z37" s="818"/>
      <c r="AA37" s="818"/>
      <c r="AB37" s="819"/>
      <c r="AC37" s="97"/>
    </row>
    <row r="38" spans="1:29" ht="28.5" customHeight="1">
      <c r="A38" s="793"/>
      <c r="B38" s="772"/>
      <c r="C38" s="102" t="s">
        <v>61</v>
      </c>
      <c r="D38" s="103"/>
      <c r="E38" s="103"/>
      <c r="F38" s="103"/>
      <c r="G38" s="103"/>
      <c r="H38" s="103"/>
      <c r="I38" s="103"/>
      <c r="J38" s="103"/>
      <c r="K38" s="103"/>
      <c r="L38" s="103"/>
      <c r="M38" s="103"/>
      <c r="N38" s="103"/>
      <c r="O38" s="103"/>
      <c r="P38" s="101">
        <f t="shared" si="0"/>
        <v>0</v>
      </c>
      <c r="Q38" s="811"/>
      <c r="R38" s="812"/>
      <c r="S38" s="812"/>
      <c r="T38" s="812"/>
      <c r="U38" s="812"/>
      <c r="V38" s="812"/>
      <c r="W38" s="812"/>
      <c r="X38" s="812"/>
      <c r="Y38" s="812"/>
      <c r="Z38" s="812"/>
      <c r="AA38" s="812"/>
      <c r="AB38" s="813"/>
      <c r="AC38" s="97"/>
    </row>
    <row r="39" spans="1:29" ht="28.5" customHeight="1" thickBot="1">
      <c r="A39" s="794"/>
      <c r="B39" s="810"/>
      <c r="C39" s="91" t="s">
        <v>65</v>
      </c>
      <c r="D39" s="105"/>
      <c r="E39" s="105"/>
      <c r="F39" s="105"/>
      <c r="G39" s="105"/>
      <c r="H39" s="105"/>
      <c r="I39" s="105"/>
      <c r="J39" s="105"/>
      <c r="K39" s="105"/>
      <c r="L39" s="106"/>
      <c r="M39" s="106"/>
      <c r="N39" s="106"/>
      <c r="O39" s="106"/>
      <c r="P39" s="107">
        <f t="shared" si="0"/>
        <v>0</v>
      </c>
      <c r="Q39" s="814"/>
      <c r="R39" s="815"/>
      <c r="S39" s="815"/>
      <c r="T39" s="815"/>
      <c r="U39" s="815"/>
      <c r="V39" s="815"/>
      <c r="W39" s="815"/>
      <c r="X39" s="815"/>
      <c r="Y39" s="815"/>
      <c r="Z39" s="815"/>
      <c r="AA39" s="815"/>
      <c r="AB39" s="816"/>
      <c r="AC39" s="97"/>
    </row>
    <row r="40" spans="1:29">
      <c r="A40" s="50" t="s">
        <v>91</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X30"/>
  <sheetViews>
    <sheetView view="pageBreakPreview" topLeftCell="A25" zoomScale="75" zoomScaleNormal="75" zoomScaleSheetLayoutView="75" workbookViewId="0">
      <selection activeCell="A28" sqref="A28:C30"/>
    </sheetView>
  </sheetViews>
  <sheetFormatPr baseColWidth="10" defaultColWidth="10.85546875" defaultRowHeight="15"/>
  <cols>
    <col min="1" max="1" width="10.140625" style="108" customWidth="1"/>
    <col min="2" max="2" width="10" style="108" customWidth="1"/>
    <col min="3" max="3" width="17.28515625" style="108" customWidth="1"/>
    <col min="4" max="6" width="8.28515625" style="108" customWidth="1"/>
    <col min="7" max="7" width="14.7109375" style="108" customWidth="1"/>
    <col min="8" max="8" width="20.140625" style="108" customWidth="1"/>
    <col min="9" max="9" width="35" style="108" customWidth="1"/>
    <col min="10" max="10" width="33.85546875" style="108" customWidth="1"/>
    <col min="11" max="11" width="16.85546875" style="108" customWidth="1"/>
    <col min="12" max="13" width="15.28515625" style="108" customWidth="1"/>
    <col min="14" max="14" width="21.140625" style="108" customWidth="1"/>
    <col min="15" max="15" width="7.5703125" style="108" bestFit="1" customWidth="1"/>
    <col min="16" max="16" width="7.140625" style="108" bestFit="1" customWidth="1"/>
    <col min="17" max="17" width="9.28515625" style="108" bestFit="1" customWidth="1"/>
    <col min="18" max="19" width="7.5703125" style="108" bestFit="1" customWidth="1"/>
    <col min="20" max="20" width="17.42578125" style="108" customWidth="1"/>
    <col min="21" max="21" width="26.7109375" style="108" customWidth="1"/>
    <col min="22" max="33" width="7.5703125" style="114" bestFit="1" customWidth="1"/>
    <col min="34" max="45" width="5.85546875" style="108" customWidth="1"/>
    <col min="46" max="46" width="10.85546875" style="286"/>
    <col min="47" max="47" width="10.85546875" style="108"/>
    <col min="48" max="50" width="24.42578125" style="108" customWidth="1"/>
    <col min="51" max="16384" width="10.85546875" style="108"/>
  </cols>
  <sheetData>
    <row r="1" spans="1:50" ht="15.95" customHeight="1">
      <c r="A1" s="899" t="s">
        <v>0</v>
      </c>
      <c r="B1" s="900"/>
      <c r="C1" s="900"/>
      <c r="D1" s="900"/>
      <c r="E1" s="900"/>
      <c r="F1" s="900"/>
      <c r="G1" s="900"/>
      <c r="H1" s="900"/>
      <c r="I1" s="900"/>
      <c r="J1" s="900"/>
      <c r="K1" s="900"/>
      <c r="L1" s="900"/>
      <c r="M1" s="900"/>
      <c r="N1" s="900"/>
      <c r="O1" s="900"/>
      <c r="P1" s="900"/>
      <c r="Q1" s="900"/>
      <c r="R1" s="900"/>
      <c r="S1" s="900"/>
      <c r="T1" s="900"/>
      <c r="U1" s="900"/>
      <c r="V1" s="900"/>
      <c r="W1" s="900"/>
      <c r="X1" s="900"/>
      <c r="Y1" s="900"/>
      <c r="Z1" s="900"/>
      <c r="AA1" s="900"/>
      <c r="AB1" s="900"/>
      <c r="AC1" s="900"/>
      <c r="AD1" s="900"/>
      <c r="AE1" s="900"/>
      <c r="AF1" s="900"/>
      <c r="AG1" s="900"/>
      <c r="AH1" s="900"/>
      <c r="AI1" s="900"/>
      <c r="AJ1" s="900"/>
      <c r="AK1" s="900"/>
      <c r="AL1" s="900"/>
      <c r="AM1" s="900"/>
      <c r="AN1" s="900"/>
      <c r="AO1" s="900"/>
      <c r="AP1" s="900"/>
      <c r="AQ1" s="900"/>
      <c r="AR1" s="900"/>
      <c r="AS1" s="900"/>
      <c r="AT1" s="900"/>
      <c r="AU1" s="900"/>
      <c r="AV1" s="901"/>
      <c r="AW1" s="644" t="s">
        <v>1</v>
      </c>
      <c r="AX1" s="646"/>
    </row>
    <row r="2" spans="1:50" ht="15.95" customHeight="1">
      <c r="A2" s="888" t="s">
        <v>2</v>
      </c>
      <c r="B2" s="889"/>
      <c r="C2" s="889"/>
      <c r="D2" s="889"/>
      <c r="E2" s="889"/>
      <c r="F2" s="889"/>
      <c r="G2" s="889"/>
      <c r="H2" s="889"/>
      <c r="I2" s="889"/>
      <c r="J2" s="889"/>
      <c r="K2" s="889"/>
      <c r="L2" s="889"/>
      <c r="M2" s="889"/>
      <c r="N2" s="889"/>
      <c r="O2" s="889"/>
      <c r="P2" s="889"/>
      <c r="Q2" s="889"/>
      <c r="R2" s="889"/>
      <c r="S2" s="889"/>
      <c r="T2" s="889"/>
      <c r="U2" s="889"/>
      <c r="V2" s="889"/>
      <c r="W2" s="889"/>
      <c r="X2" s="889"/>
      <c r="Y2" s="889"/>
      <c r="Z2" s="889"/>
      <c r="AA2" s="889"/>
      <c r="AB2" s="889"/>
      <c r="AC2" s="889"/>
      <c r="AD2" s="889"/>
      <c r="AE2" s="889"/>
      <c r="AF2" s="889"/>
      <c r="AG2" s="889"/>
      <c r="AH2" s="889"/>
      <c r="AI2" s="889"/>
      <c r="AJ2" s="889"/>
      <c r="AK2" s="889"/>
      <c r="AL2" s="889"/>
      <c r="AM2" s="889"/>
      <c r="AN2" s="889"/>
      <c r="AO2" s="889"/>
      <c r="AP2" s="889"/>
      <c r="AQ2" s="889"/>
      <c r="AR2" s="889"/>
      <c r="AS2" s="889"/>
      <c r="AT2" s="889"/>
      <c r="AU2" s="889"/>
      <c r="AV2" s="890"/>
      <c r="AW2" s="650" t="s">
        <v>3</v>
      </c>
      <c r="AX2" s="652"/>
    </row>
    <row r="3" spans="1:50" ht="15" customHeight="1">
      <c r="A3" s="891" t="s">
        <v>131</v>
      </c>
      <c r="B3" s="892"/>
      <c r="C3" s="892"/>
      <c r="D3" s="892"/>
      <c r="E3" s="892"/>
      <c r="F3" s="892"/>
      <c r="G3" s="892"/>
      <c r="H3" s="892"/>
      <c r="I3" s="892"/>
      <c r="J3" s="892"/>
      <c r="K3" s="892"/>
      <c r="L3" s="892"/>
      <c r="M3" s="892"/>
      <c r="N3" s="892"/>
      <c r="O3" s="892"/>
      <c r="P3" s="892"/>
      <c r="Q3" s="892"/>
      <c r="R3" s="892"/>
      <c r="S3" s="892"/>
      <c r="T3" s="892"/>
      <c r="U3" s="892"/>
      <c r="V3" s="892"/>
      <c r="W3" s="892"/>
      <c r="X3" s="892"/>
      <c r="Y3" s="892"/>
      <c r="Z3" s="892"/>
      <c r="AA3" s="892"/>
      <c r="AB3" s="892"/>
      <c r="AC3" s="892"/>
      <c r="AD3" s="892"/>
      <c r="AE3" s="892"/>
      <c r="AF3" s="892"/>
      <c r="AG3" s="892"/>
      <c r="AH3" s="892"/>
      <c r="AI3" s="892"/>
      <c r="AJ3" s="892"/>
      <c r="AK3" s="892"/>
      <c r="AL3" s="892"/>
      <c r="AM3" s="892"/>
      <c r="AN3" s="892"/>
      <c r="AO3" s="892"/>
      <c r="AP3" s="892"/>
      <c r="AQ3" s="892"/>
      <c r="AR3" s="892"/>
      <c r="AS3" s="892"/>
      <c r="AT3" s="892"/>
      <c r="AU3" s="892"/>
      <c r="AV3" s="893"/>
      <c r="AW3" s="650" t="s">
        <v>5</v>
      </c>
      <c r="AX3" s="652"/>
    </row>
    <row r="4" spans="1:50" ht="15.95" customHeight="1">
      <c r="A4" s="894"/>
      <c r="B4" s="895"/>
      <c r="C4" s="895"/>
      <c r="D4" s="895"/>
      <c r="E4" s="895"/>
      <c r="F4" s="895"/>
      <c r="G4" s="895"/>
      <c r="H4" s="895"/>
      <c r="I4" s="895"/>
      <c r="J4" s="895"/>
      <c r="K4" s="895"/>
      <c r="L4" s="895"/>
      <c r="M4" s="895"/>
      <c r="N4" s="895"/>
      <c r="O4" s="895"/>
      <c r="P4" s="895"/>
      <c r="Q4" s="895"/>
      <c r="R4" s="895"/>
      <c r="S4" s="895"/>
      <c r="T4" s="895"/>
      <c r="U4" s="895"/>
      <c r="V4" s="895"/>
      <c r="W4" s="895"/>
      <c r="X4" s="895"/>
      <c r="Y4" s="895"/>
      <c r="Z4" s="895"/>
      <c r="AA4" s="895"/>
      <c r="AB4" s="895"/>
      <c r="AC4" s="895"/>
      <c r="AD4" s="895"/>
      <c r="AE4" s="895"/>
      <c r="AF4" s="895"/>
      <c r="AG4" s="895"/>
      <c r="AH4" s="895"/>
      <c r="AI4" s="895"/>
      <c r="AJ4" s="895"/>
      <c r="AK4" s="895"/>
      <c r="AL4" s="895"/>
      <c r="AM4" s="895"/>
      <c r="AN4" s="895"/>
      <c r="AO4" s="895"/>
      <c r="AP4" s="895"/>
      <c r="AQ4" s="895"/>
      <c r="AR4" s="895"/>
      <c r="AS4" s="895"/>
      <c r="AT4" s="895"/>
      <c r="AU4" s="895"/>
      <c r="AV4" s="896"/>
      <c r="AW4" s="897" t="s">
        <v>132</v>
      </c>
      <c r="AX4" s="898"/>
    </row>
    <row r="5" spans="1:50" ht="15" customHeight="1">
      <c r="A5" s="845" t="s">
        <v>133</v>
      </c>
      <c r="B5" s="846"/>
      <c r="C5" s="846"/>
      <c r="D5" s="846"/>
      <c r="E5" s="846"/>
      <c r="F5" s="846"/>
      <c r="G5" s="846"/>
      <c r="H5" s="846"/>
      <c r="I5" s="846"/>
      <c r="J5" s="846"/>
      <c r="K5" s="846"/>
      <c r="L5" s="846"/>
      <c r="M5" s="846"/>
      <c r="N5" s="846"/>
      <c r="O5" s="846"/>
      <c r="P5" s="846"/>
      <c r="Q5" s="846"/>
      <c r="R5" s="846"/>
      <c r="S5" s="846"/>
      <c r="T5" s="846"/>
      <c r="U5" s="846"/>
      <c r="V5" s="846"/>
      <c r="W5" s="846"/>
      <c r="X5" s="846"/>
      <c r="Y5" s="846"/>
      <c r="Z5" s="846"/>
      <c r="AA5" s="846"/>
      <c r="AB5" s="846"/>
      <c r="AC5" s="846"/>
      <c r="AD5" s="846"/>
      <c r="AE5" s="846"/>
      <c r="AF5" s="846"/>
      <c r="AG5" s="847"/>
      <c r="AH5" s="905" t="s">
        <v>13</v>
      </c>
      <c r="AI5" s="906"/>
      <c r="AJ5" s="906"/>
      <c r="AK5" s="906"/>
      <c r="AL5" s="906"/>
      <c r="AM5" s="906"/>
      <c r="AN5" s="906"/>
      <c r="AO5" s="906"/>
      <c r="AP5" s="906"/>
      <c r="AQ5" s="906"/>
      <c r="AR5" s="906"/>
      <c r="AS5" s="906"/>
      <c r="AT5" s="906"/>
      <c r="AU5" s="907"/>
      <c r="AV5" s="864" t="s">
        <v>134</v>
      </c>
      <c r="AW5" s="864" t="s">
        <v>135</v>
      </c>
      <c r="AX5" s="902" t="s">
        <v>136</v>
      </c>
    </row>
    <row r="6" spans="1:50" ht="15" customHeight="1">
      <c r="A6" s="848" t="s">
        <v>8</v>
      </c>
      <c r="B6" s="849"/>
      <c r="C6" s="849"/>
      <c r="D6" s="850">
        <v>44599</v>
      </c>
      <c r="E6" s="851"/>
      <c r="F6" s="849" t="s">
        <v>9</v>
      </c>
      <c r="G6" s="849"/>
      <c r="H6" s="852" t="s">
        <v>10</v>
      </c>
      <c r="I6" s="852"/>
      <c r="J6" s="110"/>
      <c r="K6" s="905"/>
      <c r="L6" s="906"/>
      <c r="M6" s="906"/>
      <c r="N6" s="906"/>
      <c r="O6" s="906"/>
      <c r="P6" s="906"/>
      <c r="Q6" s="906"/>
      <c r="R6" s="906"/>
      <c r="S6" s="906"/>
      <c r="T6" s="906"/>
      <c r="U6" s="906"/>
      <c r="V6" s="445"/>
      <c r="W6" s="445"/>
      <c r="X6" s="445"/>
      <c r="Y6" s="445"/>
      <c r="Z6" s="445"/>
      <c r="AA6" s="445"/>
      <c r="AB6" s="445"/>
      <c r="AC6" s="445"/>
      <c r="AD6" s="445"/>
      <c r="AE6" s="445"/>
      <c r="AF6" s="445"/>
      <c r="AG6" s="446"/>
      <c r="AH6" s="908"/>
      <c r="AI6" s="909"/>
      <c r="AJ6" s="909"/>
      <c r="AK6" s="909"/>
      <c r="AL6" s="909"/>
      <c r="AM6" s="909"/>
      <c r="AN6" s="909"/>
      <c r="AO6" s="909"/>
      <c r="AP6" s="909"/>
      <c r="AQ6" s="909"/>
      <c r="AR6" s="909"/>
      <c r="AS6" s="909"/>
      <c r="AT6" s="909"/>
      <c r="AU6" s="910"/>
      <c r="AV6" s="865"/>
      <c r="AW6" s="865"/>
      <c r="AX6" s="903"/>
    </row>
    <row r="7" spans="1:50" ht="15" customHeight="1">
      <c r="A7" s="848"/>
      <c r="B7" s="849"/>
      <c r="C7" s="849"/>
      <c r="D7" s="851"/>
      <c r="E7" s="851"/>
      <c r="F7" s="849"/>
      <c r="G7" s="849"/>
      <c r="H7" s="852" t="s">
        <v>12</v>
      </c>
      <c r="I7" s="852"/>
      <c r="J7" s="110"/>
      <c r="K7" s="908"/>
      <c r="L7" s="909"/>
      <c r="M7" s="909"/>
      <c r="N7" s="909"/>
      <c r="O7" s="909"/>
      <c r="P7" s="909"/>
      <c r="Q7" s="909"/>
      <c r="R7" s="909"/>
      <c r="S7" s="909"/>
      <c r="T7" s="909"/>
      <c r="U7" s="909"/>
      <c r="V7" s="450"/>
      <c r="W7" s="450"/>
      <c r="X7" s="450"/>
      <c r="Y7" s="450"/>
      <c r="Z7" s="450"/>
      <c r="AA7" s="450"/>
      <c r="AB7" s="450"/>
      <c r="AC7" s="450"/>
      <c r="AD7" s="450"/>
      <c r="AE7" s="450"/>
      <c r="AF7" s="450"/>
      <c r="AG7" s="447"/>
      <c r="AH7" s="908"/>
      <c r="AI7" s="909"/>
      <c r="AJ7" s="909"/>
      <c r="AK7" s="909"/>
      <c r="AL7" s="909"/>
      <c r="AM7" s="909"/>
      <c r="AN7" s="909"/>
      <c r="AO7" s="909"/>
      <c r="AP7" s="909"/>
      <c r="AQ7" s="909"/>
      <c r="AR7" s="909"/>
      <c r="AS7" s="909"/>
      <c r="AT7" s="909"/>
      <c r="AU7" s="910"/>
      <c r="AV7" s="865"/>
      <c r="AW7" s="865"/>
      <c r="AX7" s="903"/>
    </row>
    <row r="8" spans="1:50" ht="15" customHeight="1">
      <c r="A8" s="848"/>
      <c r="B8" s="849"/>
      <c r="C8" s="849"/>
      <c r="D8" s="851"/>
      <c r="E8" s="851"/>
      <c r="F8" s="849"/>
      <c r="G8" s="849"/>
      <c r="H8" s="852" t="s">
        <v>13</v>
      </c>
      <c r="I8" s="852"/>
      <c r="J8" s="110" t="s">
        <v>11</v>
      </c>
      <c r="K8" s="911"/>
      <c r="L8" s="912"/>
      <c r="M8" s="912"/>
      <c r="N8" s="912"/>
      <c r="O8" s="912"/>
      <c r="P8" s="912"/>
      <c r="Q8" s="912"/>
      <c r="R8" s="912"/>
      <c r="S8" s="912"/>
      <c r="T8" s="912"/>
      <c r="U8" s="912"/>
      <c r="V8" s="448"/>
      <c r="W8" s="448"/>
      <c r="X8" s="448"/>
      <c r="Y8" s="448"/>
      <c r="Z8" s="448"/>
      <c r="AA8" s="448"/>
      <c r="AB8" s="448"/>
      <c r="AC8" s="448"/>
      <c r="AD8" s="448"/>
      <c r="AE8" s="448"/>
      <c r="AF8" s="448"/>
      <c r="AG8" s="449"/>
      <c r="AH8" s="908"/>
      <c r="AI8" s="909"/>
      <c r="AJ8" s="909"/>
      <c r="AK8" s="909"/>
      <c r="AL8" s="909"/>
      <c r="AM8" s="909"/>
      <c r="AN8" s="909"/>
      <c r="AO8" s="909"/>
      <c r="AP8" s="909"/>
      <c r="AQ8" s="909"/>
      <c r="AR8" s="909"/>
      <c r="AS8" s="909"/>
      <c r="AT8" s="909"/>
      <c r="AU8" s="910"/>
      <c r="AV8" s="865"/>
      <c r="AW8" s="865"/>
      <c r="AX8" s="903"/>
    </row>
    <row r="9" spans="1:50" ht="15" customHeight="1">
      <c r="A9" s="842" t="s">
        <v>137</v>
      </c>
      <c r="B9" s="843"/>
      <c r="C9" s="844"/>
      <c r="D9" s="914" t="s">
        <v>138</v>
      </c>
      <c r="E9" s="886"/>
      <c r="F9" s="886"/>
      <c r="G9" s="886"/>
      <c r="H9" s="886"/>
      <c r="I9" s="886"/>
      <c r="J9" s="886"/>
      <c r="K9" s="859"/>
      <c r="L9" s="859"/>
      <c r="M9" s="859"/>
      <c r="N9" s="859"/>
      <c r="O9" s="915"/>
      <c r="P9" s="915"/>
      <c r="Q9" s="859"/>
      <c r="R9" s="859"/>
      <c r="S9" s="859"/>
      <c r="T9" s="859"/>
      <c r="U9" s="859"/>
      <c r="V9" s="859"/>
      <c r="W9" s="859"/>
      <c r="X9" s="859"/>
      <c r="Y9" s="859"/>
      <c r="Z9" s="859"/>
      <c r="AA9" s="859"/>
      <c r="AB9" s="859"/>
      <c r="AC9" s="859"/>
      <c r="AD9" s="859"/>
      <c r="AE9" s="859"/>
      <c r="AF9" s="859"/>
      <c r="AG9" s="916"/>
      <c r="AH9" s="908"/>
      <c r="AI9" s="909"/>
      <c r="AJ9" s="909"/>
      <c r="AK9" s="909"/>
      <c r="AL9" s="909"/>
      <c r="AM9" s="909"/>
      <c r="AN9" s="909"/>
      <c r="AO9" s="909"/>
      <c r="AP9" s="909"/>
      <c r="AQ9" s="909"/>
      <c r="AR9" s="909"/>
      <c r="AS9" s="909"/>
      <c r="AT9" s="909"/>
      <c r="AU9" s="910"/>
      <c r="AV9" s="865"/>
      <c r="AW9" s="865"/>
      <c r="AX9" s="903"/>
    </row>
    <row r="10" spans="1:50" ht="15" customHeight="1">
      <c r="A10" s="855" t="s">
        <v>139</v>
      </c>
      <c r="B10" s="856"/>
      <c r="C10" s="857"/>
      <c r="D10" s="858" t="s">
        <v>140</v>
      </c>
      <c r="E10" s="859"/>
      <c r="F10" s="859"/>
      <c r="G10" s="859"/>
      <c r="H10" s="859"/>
      <c r="I10" s="859"/>
      <c r="J10" s="859"/>
      <c r="K10" s="859"/>
      <c r="L10" s="859"/>
      <c r="M10" s="859"/>
      <c r="N10" s="859"/>
      <c r="O10" s="859"/>
      <c r="P10" s="859"/>
      <c r="Q10" s="859"/>
      <c r="R10" s="859"/>
      <c r="S10" s="859"/>
      <c r="T10" s="859"/>
      <c r="U10" s="859"/>
      <c r="V10" s="860"/>
      <c r="W10" s="860"/>
      <c r="X10" s="860"/>
      <c r="Y10" s="860"/>
      <c r="Z10" s="860"/>
      <c r="AA10" s="860"/>
      <c r="AB10" s="860"/>
      <c r="AC10" s="860"/>
      <c r="AD10" s="860"/>
      <c r="AE10" s="860"/>
      <c r="AF10" s="860"/>
      <c r="AG10" s="861"/>
      <c r="AH10" s="911"/>
      <c r="AI10" s="912"/>
      <c r="AJ10" s="912"/>
      <c r="AK10" s="912"/>
      <c r="AL10" s="912"/>
      <c r="AM10" s="912"/>
      <c r="AN10" s="912"/>
      <c r="AO10" s="912"/>
      <c r="AP10" s="912"/>
      <c r="AQ10" s="912"/>
      <c r="AR10" s="912"/>
      <c r="AS10" s="912"/>
      <c r="AT10" s="912"/>
      <c r="AU10" s="913"/>
      <c r="AV10" s="865"/>
      <c r="AW10" s="865"/>
      <c r="AX10" s="903"/>
    </row>
    <row r="11" spans="1:50" ht="39.950000000000003" customHeight="1">
      <c r="A11" s="876" t="s">
        <v>141</v>
      </c>
      <c r="B11" s="874"/>
      <c r="C11" s="874"/>
      <c r="D11" s="874"/>
      <c r="E11" s="874"/>
      <c r="F11" s="875"/>
      <c r="G11" s="873" t="s">
        <v>142</v>
      </c>
      <c r="H11" s="875"/>
      <c r="I11" s="864" t="s">
        <v>143</v>
      </c>
      <c r="J11" s="864" t="s">
        <v>144</v>
      </c>
      <c r="K11" s="864" t="s">
        <v>145</v>
      </c>
      <c r="L11" s="864" t="s">
        <v>146</v>
      </c>
      <c r="M11" s="864" t="s">
        <v>147</v>
      </c>
      <c r="N11" s="864" t="s">
        <v>148</v>
      </c>
      <c r="O11" s="873" t="s">
        <v>149</v>
      </c>
      <c r="P11" s="874"/>
      <c r="Q11" s="874"/>
      <c r="R11" s="874"/>
      <c r="S11" s="875"/>
      <c r="T11" s="864" t="s">
        <v>150</v>
      </c>
      <c r="U11" s="871" t="s">
        <v>151</v>
      </c>
      <c r="V11" s="849" t="s">
        <v>152</v>
      </c>
      <c r="W11" s="849"/>
      <c r="X11" s="849"/>
      <c r="Y11" s="849"/>
      <c r="Z11" s="849"/>
      <c r="AA11" s="849"/>
      <c r="AB11" s="849"/>
      <c r="AC11" s="849"/>
      <c r="AD11" s="849"/>
      <c r="AE11" s="849"/>
      <c r="AF11" s="849"/>
      <c r="AG11" s="849"/>
      <c r="AH11" s="846" t="s">
        <v>153</v>
      </c>
      <c r="AI11" s="846"/>
      <c r="AJ11" s="846"/>
      <c r="AK11" s="846"/>
      <c r="AL11" s="846"/>
      <c r="AM11" s="846"/>
      <c r="AN11" s="846"/>
      <c r="AO11" s="846"/>
      <c r="AP11" s="846"/>
      <c r="AQ11" s="846"/>
      <c r="AR11" s="846"/>
      <c r="AS11" s="847"/>
      <c r="AT11" s="873" t="s">
        <v>41</v>
      </c>
      <c r="AU11" s="875"/>
      <c r="AV11" s="865"/>
      <c r="AW11" s="865"/>
      <c r="AX11" s="903"/>
    </row>
    <row r="12" spans="1:50" ht="42.75">
      <c r="A12" s="451" t="s">
        <v>154</v>
      </c>
      <c r="B12" s="109" t="s">
        <v>155</v>
      </c>
      <c r="C12" s="109" t="s">
        <v>156</v>
      </c>
      <c r="D12" s="109" t="s">
        <v>157</v>
      </c>
      <c r="E12" s="109" t="s">
        <v>158</v>
      </c>
      <c r="F12" s="109" t="s">
        <v>159</v>
      </c>
      <c r="G12" s="109" t="s">
        <v>160</v>
      </c>
      <c r="H12" s="109" t="s">
        <v>161</v>
      </c>
      <c r="I12" s="865"/>
      <c r="J12" s="866"/>
      <c r="K12" s="866"/>
      <c r="L12" s="866"/>
      <c r="M12" s="866"/>
      <c r="N12" s="866"/>
      <c r="O12" s="109">
        <v>2020</v>
      </c>
      <c r="P12" s="109">
        <v>2021</v>
      </c>
      <c r="Q12" s="109">
        <v>2022</v>
      </c>
      <c r="R12" s="109">
        <v>2023</v>
      </c>
      <c r="S12" s="109">
        <v>2024</v>
      </c>
      <c r="T12" s="866"/>
      <c r="U12" s="872"/>
      <c r="V12" s="422" t="s">
        <v>29</v>
      </c>
      <c r="W12" s="422" t="s">
        <v>30</v>
      </c>
      <c r="X12" s="422" t="s">
        <v>31</v>
      </c>
      <c r="Y12" s="422" t="s">
        <v>32</v>
      </c>
      <c r="Z12" s="422" t="s">
        <v>33</v>
      </c>
      <c r="AA12" s="422" t="s">
        <v>34</v>
      </c>
      <c r="AB12" s="422" t="s">
        <v>35</v>
      </c>
      <c r="AC12" s="422" t="s">
        <v>36</v>
      </c>
      <c r="AD12" s="422" t="s">
        <v>37</v>
      </c>
      <c r="AE12" s="422" t="s">
        <v>38</v>
      </c>
      <c r="AF12" s="422" t="s">
        <v>39</v>
      </c>
      <c r="AG12" s="422" t="s">
        <v>40</v>
      </c>
      <c r="AH12" s="378" t="s">
        <v>29</v>
      </c>
      <c r="AI12" s="181" t="s">
        <v>30</v>
      </c>
      <c r="AJ12" s="181" t="s">
        <v>31</v>
      </c>
      <c r="AK12" s="181" t="s">
        <v>32</v>
      </c>
      <c r="AL12" s="181" t="s">
        <v>33</v>
      </c>
      <c r="AM12" s="181" t="s">
        <v>34</v>
      </c>
      <c r="AN12" s="181" t="s">
        <v>35</v>
      </c>
      <c r="AO12" s="181" t="s">
        <v>36</v>
      </c>
      <c r="AP12" s="181" t="s">
        <v>37</v>
      </c>
      <c r="AQ12" s="181" t="s">
        <v>38</v>
      </c>
      <c r="AR12" s="181" t="s">
        <v>39</v>
      </c>
      <c r="AS12" s="181" t="s">
        <v>40</v>
      </c>
      <c r="AT12" s="285" t="s">
        <v>162</v>
      </c>
      <c r="AU12" s="109" t="s">
        <v>163</v>
      </c>
      <c r="AV12" s="866"/>
      <c r="AW12" s="866"/>
      <c r="AX12" s="904"/>
    </row>
    <row r="13" spans="1:50" ht="109.5" customHeight="1">
      <c r="A13" s="452">
        <v>9</v>
      </c>
      <c r="B13" s="110"/>
      <c r="C13" s="110"/>
      <c r="D13" s="110">
        <v>29</v>
      </c>
      <c r="E13" s="110"/>
      <c r="F13" s="110"/>
      <c r="G13" s="418"/>
      <c r="H13" s="418"/>
      <c r="I13" s="418" t="s">
        <v>164</v>
      </c>
      <c r="J13" s="413" t="s">
        <v>165</v>
      </c>
      <c r="K13" s="111" t="s">
        <v>166</v>
      </c>
      <c r="L13" s="110">
        <v>26100</v>
      </c>
      <c r="M13" s="111" t="s">
        <v>167</v>
      </c>
      <c r="N13" s="111" t="s">
        <v>168</v>
      </c>
      <c r="O13" s="377">
        <v>2000</v>
      </c>
      <c r="P13" s="377">
        <v>7000</v>
      </c>
      <c r="Q13" s="377">
        <v>7000</v>
      </c>
      <c r="R13" s="377">
        <v>7000</v>
      </c>
      <c r="S13" s="377">
        <v>3100</v>
      </c>
      <c r="T13" s="414" t="s">
        <v>169</v>
      </c>
      <c r="U13" s="432" t="s">
        <v>170</v>
      </c>
      <c r="V13" s="180">
        <v>0</v>
      </c>
      <c r="W13" s="180">
        <v>500</v>
      </c>
      <c r="X13" s="180">
        <v>700</v>
      </c>
      <c r="Y13" s="180">
        <v>700</v>
      </c>
      <c r="Z13" s="180">
        <v>700</v>
      </c>
      <c r="AA13" s="180">
        <v>700</v>
      </c>
      <c r="AB13" s="180">
        <v>700</v>
      </c>
      <c r="AC13" s="180">
        <v>700</v>
      </c>
      <c r="AD13" s="180">
        <v>700</v>
      </c>
      <c r="AE13" s="180">
        <v>700</v>
      </c>
      <c r="AF13" s="180">
        <v>700</v>
      </c>
      <c r="AG13" s="180">
        <v>200</v>
      </c>
      <c r="AH13" s="415"/>
      <c r="AI13" s="112"/>
      <c r="AJ13" s="112"/>
      <c r="AK13" s="112"/>
      <c r="AL13" s="112"/>
      <c r="AM13" s="112"/>
      <c r="AN13" s="112"/>
      <c r="AO13" s="112"/>
      <c r="AP13" s="112"/>
      <c r="AQ13" s="112"/>
      <c r="AR13" s="112"/>
      <c r="AS13" s="112"/>
      <c r="AT13" s="180">
        <f t="shared" ref="AT13" si="0">SUM(V13:AG13)</f>
        <v>7000</v>
      </c>
      <c r="AU13" s="416">
        <f>AT13/Q13</f>
        <v>1</v>
      </c>
      <c r="AV13" s="417"/>
      <c r="AW13" s="417"/>
      <c r="AX13" s="453"/>
    </row>
    <row r="14" spans="1:50" ht="109.5" customHeight="1">
      <c r="A14" s="452">
        <v>10</v>
      </c>
      <c r="B14" s="110"/>
      <c r="C14" s="110"/>
      <c r="D14" s="110"/>
      <c r="E14" s="110"/>
      <c r="F14" s="110"/>
      <c r="G14" s="418"/>
      <c r="H14" s="428"/>
      <c r="I14" s="418" t="s">
        <v>171</v>
      </c>
      <c r="J14" s="419" t="s">
        <v>172</v>
      </c>
      <c r="K14" s="111" t="s">
        <v>166</v>
      </c>
      <c r="L14" s="110">
        <v>0.2</v>
      </c>
      <c r="M14" s="111" t="s">
        <v>173</v>
      </c>
      <c r="N14" s="111" t="s">
        <v>174</v>
      </c>
      <c r="O14" s="420">
        <v>0.2</v>
      </c>
      <c r="P14" s="420">
        <v>0.2</v>
      </c>
      <c r="Q14" s="420">
        <v>0.2</v>
      </c>
      <c r="R14" s="420">
        <v>0.2</v>
      </c>
      <c r="S14" s="420">
        <v>0.2</v>
      </c>
      <c r="T14" s="414" t="s">
        <v>169</v>
      </c>
      <c r="U14" s="432" t="s">
        <v>175</v>
      </c>
      <c r="V14" s="434">
        <v>0</v>
      </c>
      <c r="W14" s="434">
        <v>1.0400000000000003E-2</v>
      </c>
      <c r="X14" s="434">
        <v>2.0000000000000004E-2</v>
      </c>
      <c r="Y14" s="434">
        <v>2.0000000000000004E-2</v>
      </c>
      <c r="Z14" s="434">
        <v>2.0000000000000004E-2</v>
      </c>
      <c r="AA14" s="434">
        <v>2.0000000000000004E-2</v>
      </c>
      <c r="AB14" s="434">
        <v>2.0000000000000004E-2</v>
      </c>
      <c r="AC14" s="434">
        <v>2.0000000000000004E-2</v>
      </c>
      <c r="AD14" s="434">
        <v>2.0000000000000004E-2</v>
      </c>
      <c r="AE14" s="434">
        <v>2.0000000000000004E-2</v>
      </c>
      <c r="AF14" s="434">
        <v>2.0000000000000004E-2</v>
      </c>
      <c r="AG14" s="434">
        <v>9.6000000000000026E-3</v>
      </c>
      <c r="AH14" s="415"/>
      <c r="AI14" s="112"/>
      <c r="AJ14" s="112"/>
      <c r="AK14" s="112"/>
      <c r="AL14" s="112"/>
      <c r="AM14" s="112"/>
      <c r="AN14" s="112"/>
      <c r="AO14" s="112"/>
      <c r="AP14" s="112"/>
      <c r="AQ14" s="112"/>
      <c r="AR14" s="112"/>
      <c r="AS14" s="112"/>
      <c r="AT14" s="180"/>
      <c r="AU14" s="416"/>
      <c r="AV14" s="417"/>
      <c r="AW14" s="417"/>
      <c r="AX14" s="453"/>
    </row>
    <row r="15" spans="1:50" ht="109.5" customHeight="1">
      <c r="A15" s="452">
        <v>10</v>
      </c>
      <c r="B15" s="110"/>
      <c r="C15" s="110"/>
      <c r="D15" s="110">
        <v>42</v>
      </c>
      <c r="E15" s="110"/>
      <c r="F15" s="110"/>
      <c r="G15" s="418"/>
      <c r="H15" s="428"/>
      <c r="I15" s="418" t="s">
        <v>92</v>
      </c>
      <c r="J15" s="419" t="s">
        <v>176</v>
      </c>
      <c r="K15" s="111" t="s">
        <v>166</v>
      </c>
      <c r="L15" s="110">
        <v>13</v>
      </c>
      <c r="M15" s="111" t="s">
        <v>177</v>
      </c>
      <c r="N15" s="111" t="s">
        <v>178</v>
      </c>
      <c r="O15" s="377">
        <v>1</v>
      </c>
      <c r="P15" s="377">
        <v>4</v>
      </c>
      <c r="Q15" s="377">
        <v>4</v>
      </c>
      <c r="R15" s="377">
        <v>4</v>
      </c>
      <c r="S15" s="377">
        <v>0</v>
      </c>
      <c r="T15" s="414" t="s">
        <v>169</v>
      </c>
      <c r="U15" s="432" t="s">
        <v>179</v>
      </c>
      <c r="V15" s="180">
        <v>0</v>
      </c>
      <c r="W15" s="180">
        <v>0</v>
      </c>
      <c r="X15" s="180">
        <v>0</v>
      </c>
      <c r="Y15" s="180">
        <v>0</v>
      </c>
      <c r="Z15" s="180">
        <v>0</v>
      </c>
      <c r="AA15" s="180">
        <v>0</v>
      </c>
      <c r="AB15" s="180">
        <v>0</v>
      </c>
      <c r="AC15" s="180">
        <v>1</v>
      </c>
      <c r="AD15" s="180">
        <v>0</v>
      </c>
      <c r="AE15" s="180">
        <v>2</v>
      </c>
      <c r="AF15" s="180">
        <v>0</v>
      </c>
      <c r="AG15" s="180">
        <v>1</v>
      </c>
      <c r="AH15" s="415"/>
      <c r="AI15" s="112"/>
      <c r="AJ15" s="112"/>
      <c r="AK15" s="112"/>
      <c r="AL15" s="112"/>
      <c r="AM15" s="112"/>
      <c r="AN15" s="112"/>
      <c r="AO15" s="112"/>
      <c r="AP15" s="112"/>
      <c r="AQ15" s="112"/>
      <c r="AR15" s="112"/>
      <c r="AS15" s="112"/>
      <c r="AT15" s="180">
        <v>4</v>
      </c>
      <c r="AU15" s="416">
        <f>AT15/Q15</f>
        <v>1</v>
      </c>
      <c r="AV15" s="417"/>
      <c r="AW15" s="417"/>
      <c r="AX15" s="453"/>
    </row>
    <row r="16" spans="1:50" ht="117.75" customHeight="1">
      <c r="A16" s="452"/>
      <c r="B16" s="110"/>
      <c r="C16" s="110"/>
      <c r="D16" s="110"/>
      <c r="E16" s="110"/>
      <c r="F16" s="110" t="s">
        <v>11</v>
      </c>
      <c r="G16" s="418"/>
      <c r="H16" s="428"/>
      <c r="I16" s="418" t="s">
        <v>180</v>
      </c>
      <c r="J16" s="419" t="s">
        <v>181</v>
      </c>
      <c r="K16" s="111" t="s">
        <v>166</v>
      </c>
      <c r="L16" s="110" t="s">
        <v>182</v>
      </c>
      <c r="M16" s="111" t="s">
        <v>183</v>
      </c>
      <c r="N16" s="111" t="s">
        <v>174</v>
      </c>
      <c r="O16" s="377"/>
      <c r="P16" s="377"/>
      <c r="Q16" s="377">
        <v>10000</v>
      </c>
      <c r="R16" s="377"/>
      <c r="S16" s="377"/>
      <c r="T16" s="414" t="s">
        <v>169</v>
      </c>
      <c r="U16" s="432" t="s">
        <v>184</v>
      </c>
      <c r="V16" s="180">
        <v>0</v>
      </c>
      <c r="W16" s="180">
        <v>800</v>
      </c>
      <c r="X16" s="180">
        <v>932</v>
      </c>
      <c r="Y16" s="180">
        <v>934</v>
      </c>
      <c r="Z16" s="180">
        <v>934</v>
      </c>
      <c r="AA16" s="180">
        <v>932</v>
      </c>
      <c r="AB16" s="180">
        <v>934</v>
      </c>
      <c r="AC16" s="180">
        <v>934</v>
      </c>
      <c r="AD16" s="180">
        <v>932</v>
      </c>
      <c r="AE16" s="180">
        <v>934</v>
      </c>
      <c r="AF16" s="180">
        <v>934</v>
      </c>
      <c r="AG16" s="180">
        <v>800</v>
      </c>
      <c r="AH16" s="415"/>
      <c r="AI16" s="112"/>
      <c r="AJ16" s="112"/>
      <c r="AK16" s="112"/>
      <c r="AL16" s="112"/>
      <c r="AM16" s="112"/>
      <c r="AN16" s="112"/>
      <c r="AO16" s="112"/>
      <c r="AP16" s="112"/>
      <c r="AQ16" s="112"/>
      <c r="AR16" s="112"/>
      <c r="AS16" s="112"/>
      <c r="AT16" s="180">
        <f t="shared" ref="AT16:AT20" si="1">SUM(V16:AG16)</f>
        <v>10000</v>
      </c>
      <c r="AU16" s="416">
        <f t="shared" ref="AU16:AU20" si="2">AT16/Q16</f>
        <v>1</v>
      </c>
      <c r="AV16" s="417"/>
      <c r="AW16" s="417"/>
      <c r="AX16" s="453"/>
    </row>
    <row r="17" spans="1:50" ht="117" customHeight="1">
      <c r="A17" s="452"/>
      <c r="B17" s="110"/>
      <c r="C17" s="110"/>
      <c r="D17" s="110"/>
      <c r="E17" s="110"/>
      <c r="F17" s="110" t="s">
        <v>11</v>
      </c>
      <c r="G17" s="418"/>
      <c r="H17" s="428"/>
      <c r="I17" s="418" t="s">
        <v>180</v>
      </c>
      <c r="J17" s="419" t="s">
        <v>185</v>
      </c>
      <c r="K17" s="111" t="s">
        <v>166</v>
      </c>
      <c r="L17" s="110" t="s">
        <v>182</v>
      </c>
      <c r="M17" s="111" t="s">
        <v>186</v>
      </c>
      <c r="N17" s="111" t="s">
        <v>174</v>
      </c>
      <c r="O17" s="377"/>
      <c r="P17" s="377"/>
      <c r="Q17" s="377">
        <v>4000</v>
      </c>
      <c r="R17" s="377"/>
      <c r="S17" s="377"/>
      <c r="T17" s="414" t="s">
        <v>169</v>
      </c>
      <c r="U17" s="432" t="s">
        <v>187</v>
      </c>
      <c r="V17" s="180">
        <v>0</v>
      </c>
      <c r="W17" s="180">
        <v>250</v>
      </c>
      <c r="X17" s="180">
        <v>388</v>
      </c>
      <c r="Y17" s="180">
        <v>389</v>
      </c>
      <c r="Z17" s="180">
        <v>389</v>
      </c>
      <c r="AA17" s="180">
        <v>389</v>
      </c>
      <c r="AB17" s="180">
        <v>389</v>
      </c>
      <c r="AC17" s="180">
        <v>389</v>
      </c>
      <c r="AD17" s="180">
        <v>389</v>
      </c>
      <c r="AE17" s="180">
        <v>389</v>
      </c>
      <c r="AF17" s="180">
        <v>389</v>
      </c>
      <c r="AG17" s="180">
        <v>250</v>
      </c>
      <c r="AH17" s="415"/>
      <c r="AI17" s="112"/>
      <c r="AJ17" s="112"/>
      <c r="AK17" s="112"/>
      <c r="AL17" s="112"/>
      <c r="AM17" s="112"/>
      <c r="AN17" s="112"/>
      <c r="AO17" s="112"/>
      <c r="AP17" s="112"/>
      <c r="AQ17" s="112"/>
      <c r="AR17" s="112"/>
      <c r="AS17" s="112"/>
      <c r="AT17" s="180">
        <f t="shared" si="1"/>
        <v>4000</v>
      </c>
      <c r="AU17" s="416">
        <f t="shared" si="2"/>
        <v>1</v>
      </c>
      <c r="AV17" s="417"/>
      <c r="AW17" s="417"/>
      <c r="AX17" s="453"/>
    </row>
    <row r="18" spans="1:50" ht="111.75" customHeight="1">
      <c r="A18" s="452"/>
      <c r="B18" s="110"/>
      <c r="C18" s="110"/>
      <c r="D18" s="110"/>
      <c r="E18" s="110"/>
      <c r="F18" s="110" t="s">
        <v>11</v>
      </c>
      <c r="G18" s="418"/>
      <c r="H18" s="428"/>
      <c r="I18" s="418" t="s">
        <v>180</v>
      </c>
      <c r="J18" s="419" t="s">
        <v>188</v>
      </c>
      <c r="K18" s="111" t="s">
        <v>166</v>
      </c>
      <c r="L18" s="110" t="s">
        <v>182</v>
      </c>
      <c r="M18" s="111" t="s">
        <v>189</v>
      </c>
      <c r="N18" s="111" t="s">
        <v>190</v>
      </c>
      <c r="O18" s="377"/>
      <c r="P18" s="377"/>
      <c r="Q18" s="377">
        <v>2</v>
      </c>
      <c r="R18" s="377"/>
      <c r="S18" s="377"/>
      <c r="T18" s="414" t="s">
        <v>191</v>
      </c>
      <c r="U18" s="432" t="s">
        <v>192</v>
      </c>
      <c r="V18" s="180">
        <v>0</v>
      </c>
      <c r="W18" s="180">
        <v>1</v>
      </c>
      <c r="X18" s="180">
        <v>0</v>
      </c>
      <c r="Y18" s="180">
        <v>0</v>
      </c>
      <c r="Z18" s="180">
        <v>0</v>
      </c>
      <c r="AA18" s="180">
        <v>0</v>
      </c>
      <c r="AB18" s="180">
        <v>0</v>
      </c>
      <c r="AC18" s="180">
        <v>1</v>
      </c>
      <c r="AD18" s="180">
        <v>0</v>
      </c>
      <c r="AE18" s="180">
        <v>0</v>
      </c>
      <c r="AF18" s="180">
        <v>0</v>
      </c>
      <c r="AG18" s="180">
        <v>0</v>
      </c>
      <c r="AH18" s="415"/>
      <c r="AI18" s="112"/>
      <c r="AJ18" s="112"/>
      <c r="AK18" s="112"/>
      <c r="AL18" s="112"/>
      <c r="AM18" s="112"/>
      <c r="AN18" s="112"/>
      <c r="AO18" s="112"/>
      <c r="AP18" s="112"/>
      <c r="AQ18" s="112"/>
      <c r="AR18" s="112"/>
      <c r="AS18" s="112"/>
      <c r="AT18" s="180">
        <f t="shared" si="1"/>
        <v>2</v>
      </c>
      <c r="AU18" s="416">
        <f t="shared" si="2"/>
        <v>1</v>
      </c>
      <c r="AV18" s="417"/>
      <c r="AW18" s="417"/>
      <c r="AX18" s="453"/>
    </row>
    <row r="19" spans="1:50" ht="106.5" customHeight="1">
      <c r="A19" s="452"/>
      <c r="B19" s="110"/>
      <c r="C19" s="110"/>
      <c r="D19" s="110"/>
      <c r="E19" s="110"/>
      <c r="F19" s="110" t="s">
        <v>11</v>
      </c>
      <c r="G19" s="418"/>
      <c r="H19" s="428"/>
      <c r="I19" s="418" t="s">
        <v>180</v>
      </c>
      <c r="J19" s="419" t="s">
        <v>193</v>
      </c>
      <c r="K19" s="111" t="s">
        <v>166</v>
      </c>
      <c r="L19" s="110" t="s">
        <v>182</v>
      </c>
      <c r="M19" s="111" t="s">
        <v>194</v>
      </c>
      <c r="N19" s="111" t="s">
        <v>195</v>
      </c>
      <c r="O19" s="377"/>
      <c r="P19" s="377"/>
      <c r="Q19" s="377">
        <v>2</v>
      </c>
      <c r="R19" s="377"/>
      <c r="S19" s="377"/>
      <c r="T19" s="414" t="s">
        <v>191</v>
      </c>
      <c r="U19" s="432" t="s">
        <v>196</v>
      </c>
      <c r="V19" s="180">
        <v>0</v>
      </c>
      <c r="W19" s="180">
        <v>0</v>
      </c>
      <c r="X19" s="180">
        <v>0</v>
      </c>
      <c r="Y19" s="180">
        <v>0</v>
      </c>
      <c r="Z19" s="180">
        <v>0</v>
      </c>
      <c r="AA19" s="180">
        <v>1</v>
      </c>
      <c r="AB19" s="180">
        <v>0</v>
      </c>
      <c r="AC19" s="180">
        <v>0</v>
      </c>
      <c r="AD19" s="180">
        <v>0</v>
      </c>
      <c r="AE19" s="180">
        <v>0</v>
      </c>
      <c r="AF19" s="180">
        <v>0</v>
      </c>
      <c r="AG19" s="180">
        <v>1</v>
      </c>
      <c r="AH19" s="415"/>
      <c r="AI19" s="112"/>
      <c r="AJ19" s="112"/>
      <c r="AK19" s="112"/>
      <c r="AL19" s="112"/>
      <c r="AM19" s="112"/>
      <c r="AN19" s="112"/>
      <c r="AO19" s="112"/>
      <c r="AP19" s="112"/>
      <c r="AQ19" s="112"/>
      <c r="AR19" s="112"/>
      <c r="AS19" s="112"/>
      <c r="AT19" s="180">
        <f t="shared" si="1"/>
        <v>2</v>
      </c>
      <c r="AU19" s="416">
        <f>AT19/Q19</f>
        <v>1</v>
      </c>
      <c r="AV19" s="417"/>
      <c r="AW19" s="417"/>
      <c r="AX19" s="453"/>
    </row>
    <row r="20" spans="1:50" ht="140.25" customHeight="1">
      <c r="A20" s="452"/>
      <c r="B20" s="110"/>
      <c r="C20" s="110"/>
      <c r="D20" s="110"/>
      <c r="E20" s="110"/>
      <c r="F20" s="110" t="s">
        <v>11</v>
      </c>
      <c r="G20" s="418"/>
      <c r="H20" s="428"/>
      <c r="I20" s="418" t="s">
        <v>105</v>
      </c>
      <c r="J20" s="419" t="s">
        <v>197</v>
      </c>
      <c r="K20" s="111" t="s">
        <v>166</v>
      </c>
      <c r="L20" s="110" t="s">
        <v>182</v>
      </c>
      <c r="M20" s="111" t="s">
        <v>189</v>
      </c>
      <c r="N20" s="111" t="s">
        <v>198</v>
      </c>
      <c r="O20" s="377"/>
      <c r="P20" s="377"/>
      <c r="Q20" s="377">
        <v>4</v>
      </c>
      <c r="R20" s="377"/>
      <c r="S20" s="377"/>
      <c r="T20" s="414" t="s">
        <v>199</v>
      </c>
      <c r="U20" s="432" t="s">
        <v>200</v>
      </c>
      <c r="V20" s="180">
        <v>0</v>
      </c>
      <c r="W20" s="180">
        <v>0</v>
      </c>
      <c r="X20" s="180">
        <v>1</v>
      </c>
      <c r="Y20" s="180">
        <v>0</v>
      </c>
      <c r="Z20" s="180">
        <v>0</v>
      </c>
      <c r="AA20" s="180">
        <v>1</v>
      </c>
      <c r="AB20" s="180">
        <v>0</v>
      </c>
      <c r="AC20" s="180">
        <v>0</v>
      </c>
      <c r="AD20" s="180">
        <v>1</v>
      </c>
      <c r="AE20" s="180">
        <v>0</v>
      </c>
      <c r="AF20" s="180">
        <v>0</v>
      </c>
      <c r="AG20" s="180">
        <v>1</v>
      </c>
      <c r="AH20" s="415"/>
      <c r="AI20" s="112"/>
      <c r="AJ20" s="112"/>
      <c r="AK20" s="112"/>
      <c r="AL20" s="112"/>
      <c r="AM20" s="112"/>
      <c r="AN20" s="112"/>
      <c r="AO20" s="112"/>
      <c r="AP20" s="112"/>
      <c r="AQ20" s="112"/>
      <c r="AR20" s="112"/>
      <c r="AS20" s="112"/>
      <c r="AT20" s="180">
        <f t="shared" si="1"/>
        <v>4</v>
      </c>
      <c r="AU20" s="416">
        <f t="shared" si="2"/>
        <v>1</v>
      </c>
      <c r="AV20" s="417"/>
      <c r="AW20" s="417"/>
      <c r="AX20" s="453"/>
    </row>
    <row r="21" spans="1:50" ht="216.75" customHeight="1">
      <c r="A21" s="452" t="s">
        <v>201</v>
      </c>
      <c r="B21" s="110"/>
      <c r="C21" s="110"/>
      <c r="D21" s="110"/>
      <c r="E21" s="110"/>
      <c r="F21" s="110" t="s">
        <v>11</v>
      </c>
      <c r="G21" s="418"/>
      <c r="H21" s="428"/>
      <c r="I21" s="418" t="s">
        <v>105</v>
      </c>
      <c r="J21" s="419" t="s">
        <v>202</v>
      </c>
      <c r="K21" s="111" t="s">
        <v>203</v>
      </c>
      <c r="L21" s="110" t="s">
        <v>182</v>
      </c>
      <c r="M21" s="111" t="s">
        <v>204</v>
      </c>
      <c r="N21" s="111" t="s">
        <v>205</v>
      </c>
      <c r="O21" s="377"/>
      <c r="P21" s="377"/>
      <c r="Q21" s="377">
        <v>1</v>
      </c>
      <c r="R21" s="377"/>
      <c r="S21" s="377"/>
      <c r="T21" s="414" t="s">
        <v>206</v>
      </c>
      <c r="U21" s="433" t="s">
        <v>207</v>
      </c>
      <c r="V21" s="180">
        <v>0</v>
      </c>
      <c r="W21" s="180">
        <v>0</v>
      </c>
      <c r="X21" s="180">
        <v>0</v>
      </c>
      <c r="Y21" s="180">
        <v>0</v>
      </c>
      <c r="Z21" s="180">
        <v>0</v>
      </c>
      <c r="AA21" s="180">
        <v>0</v>
      </c>
      <c r="AB21" s="180">
        <v>0</v>
      </c>
      <c r="AC21" s="180">
        <v>0</v>
      </c>
      <c r="AD21" s="180">
        <v>1</v>
      </c>
      <c r="AE21" s="180">
        <v>0</v>
      </c>
      <c r="AF21" s="180">
        <v>0</v>
      </c>
      <c r="AG21" s="180">
        <v>0</v>
      </c>
      <c r="AH21" s="415"/>
      <c r="AI21" s="112"/>
      <c r="AJ21" s="112"/>
      <c r="AK21" s="112"/>
      <c r="AL21" s="112"/>
      <c r="AM21" s="112"/>
      <c r="AN21" s="112"/>
      <c r="AO21" s="112"/>
      <c r="AP21" s="112"/>
      <c r="AQ21" s="112"/>
      <c r="AR21" s="112"/>
      <c r="AS21" s="112"/>
      <c r="AT21" s="180">
        <f t="shared" ref="AT21:AT23" si="3">V21+W21+X21+Y21+Z21+AA21+AB21+AC21+AD21+AE21+AF21+AG21</f>
        <v>1</v>
      </c>
      <c r="AU21" s="416">
        <f>AT21/Q21</f>
        <v>1</v>
      </c>
      <c r="AV21" s="417"/>
      <c r="AW21" s="417"/>
      <c r="AX21" s="453"/>
    </row>
    <row r="22" spans="1:50" ht="120.75" customHeight="1">
      <c r="A22" s="452"/>
      <c r="B22" s="110"/>
      <c r="C22" s="110"/>
      <c r="D22" s="110"/>
      <c r="E22" s="110"/>
      <c r="F22" s="110" t="s">
        <v>11</v>
      </c>
      <c r="G22" s="418"/>
      <c r="H22" s="428"/>
      <c r="I22" s="418" t="s">
        <v>105</v>
      </c>
      <c r="J22" s="427" t="s">
        <v>208</v>
      </c>
      <c r="K22" s="111" t="s">
        <v>203</v>
      </c>
      <c r="L22" s="110" t="s">
        <v>182</v>
      </c>
      <c r="M22" s="111" t="s">
        <v>204</v>
      </c>
      <c r="N22" s="111" t="s">
        <v>209</v>
      </c>
      <c r="O22" s="377"/>
      <c r="P22" s="377"/>
      <c r="Q22" s="377">
        <v>1</v>
      </c>
      <c r="R22" s="377"/>
      <c r="S22" s="377"/>
      <c r="T22" s="414" t="s">
        <v>206</v>
      </c>
      <c r="U22" s="432" t="s">
        <v>210</v>
      </c>
      <c r="V22" s="180">
        <v>0</v>
      </c>
      <c r="W22" s="180">
        <v>0</v>
      </c>
      <c r="X22" s="180">
        <v>0</v>
      </c>
      <c r="Y22" s="180">
        <v>0</v>
      </c>
      <c r="Z22" s="180">
        <v>0</v>
      </c>
      <c r="AA22" s="180">
        <v>0</v>
      </c>
      <c r="AB22" s="180">
        <v>0</v>
      </c>
      <c r="AC22" s="180">
        <v>0</v>
      </c>
      <c r="AD22" s="180">
        <v>1</v>
      </c>
      <c r="AE22" s="180">
        <v>0</v>
      </c>
      <c r="AF22" s="180">
        <v>0</v>
      </c>
      <c r="AG22" s="180">
        <v>0</v>
      </c>
      <c r="AH22" s="415"/>
      <c r="AI22" s="112"/>
      <c r="AJ22" s="112"/>
      <c r="AK22" s="112"/>
      <c r="AL22" s="112"/>
      <c r="AM22" s="112"/>
      <c r="AN22" s="112"/>
      <c r="AO22" s="112"/>
      <c r="AP22" s="112"/>
      <c r="AQ22" s="112"/>
      <c r="AR22" s="112"/>
      <c r="AS22" s="112"/>
      <c r="AT22" s="180">
        <f t="shared" si="3"/>
        <v>1</v>
      </c>
      <c r="AU22" s="416">
        <f>AT22/Q22</f>
        <v>1</v>
      </c>
      <c r="AV22" s="417"/>
      <c r="AW22" s="417"/>
      <c r="AX22" s="453"/>
    </row>
    <row r="23" spans="1:50" ht="85.5" customHeight="1">
      <c r="A23" s="452"/>
      <c r="B23" s="110"/>
      <c r="C23" s="110"/>
      <c r="D23" s="110"/>
      <c r="E23" s="110"/>
      <c r="F23" s="110"/>
      <c r="G23" s="418"/>
      <c r="H23" s="428"/>
      <c r="I23" s="418" t="s">
        <v>105</v>
      </c>
      <c r="J23" s="419" t="s">
        <v>211</v>
      </c>
      <c r="K23" s="111" t="s">
        <v>203</v>
      </c>
      <c r="L23" s="110" t="s">
        <v>182</v>
      </c>
      <c r="M23" s="111" t="s">
        <v>212</v>
      </c>
      <c r="N23" s="111" t="s">
        <v>213</v>
      </c>
      <c r="O23" s="377"/>
      <c r="P23" s="377"/>
      <c r="Q23" s="377">
        <v>1</v>
      </c>
      <c r="R23" s="377"/>
      <c r="S23" s="377"/>
      <c r="T23" s="414" t="s">
        <v>206</v>
      </c>
      <c r="U23" s="432" t="s">
        <v>214</v>
      </c>
      <c r="V23" s="180">
        <v>0</v>
      </c>
      <c r="W23" s="180">
        <v>0</v>
      </c>
      <c r="X23" s="180">
        <v>1</v>
      </c>
      <c r="Y23" s="180">
        <v>0</v>
      </c>
      <c r="Z23" s="180">
        <v>0</v>
      </c>
      <c r="AA23" s="180">
        <v>0</v>
      </c>
      <c r="AB23" s="180">
        <v>0</v>
      </c>
      <c r="AC23" s="180">
        <v>0</v>
      </c>
      <c r="AD23" s="180">
        <v>0</v>
      </c>
      <c r="AE23" s="180">
        <v>0</v>
      </c>
      <c r="AF23" s="180">
        <v>0</v>
      </c>
      <c r="AG23" s="180">
        <v>0</v>
      </c>
      <c r="AH23" s="415"/>
      <c r="AI23" s="112"/>
      <c r="AJ23" s="112"/>
      <c r="AK23" s="112"/>
      <c r="AL23" s="112"/>
      <c r="AM23" s="112"/>
      <c r="AN23" s="112"/>
      <c r="AO23" s="112"/>
      <c r="AP23" s="112"/>
      <c r="AQ23" s="112"/>
      <c r="AR23" s="112"/>
      <c r="AS23" s="112"/>
      <c r="AT23" s="180">
        <f t="shared" si="3"/>
        <v>1</v>
      </c>
      <c r="AU23" s="416" t="e">
        <f t="shared" ref="AU23" si="4">AT23/O23</f>
        <v>#DIV/0!</v>
      </c>
      <c r="AV23" s="417"/>
      <c r="AW23" s="417"/>
      <c r="AX23" s="453"/>
    </row>
    <row r="24" spans="1:50" ht="118.5" customHeight="1">
      <c r="A24" s="452"/>
      <c r="B24" s="110"/>
      <c r="C24" s="110"/>
      <c r="D24" s="110"/>
      <c r="E24" s="110"/>
      <c r="F24" s="110"/>
      <c r="G24" s="418" t="s">
        <v>215</v>
      </c>
      <c r="H24" s="428" t="s">
        <v>140</v>
      </c>
      <c r="I24" s="429" t="s">
        <v>216</v>
      </c>
      <c r="J24" s="430" t="s">
        <v>217</v>
      </c>
      <c r="K24" s="111" t="s">
        <v>203</v>
      </c>
      <c r="L24" s="110"/>
      <c r="M24" s="111" t="s">
        <v>173</v>
      </c>
      <c r="N24" s="431" t="s">
        <v>218</v>
      </c>
      <c r="O24" s="377"/>
      <c r="P24" s="377"/>
      <c r="Q24" s="421">
        <v>1</v>
      </c>
      <c r="R24" s="377"/>
      <c r="S24" s="377"/>
      <c r="T24" s="414"/>
      <c r="U24" s="432" t="s">
        <v>219</v>
      </c>
      <c r="V24" s="180">
        <v>0</v>
      </c>
      <c r="W24" s="180">
        <v>0</v>
      </c>
      <c r="X24" s="416">
        <v>0.25</v>
      </c>
      <c r="Y24" s="180">
        <v>0</v>
      </c>
      <c r="Z24" s="180">
        <v>0</v>
      </c>
      <c r="AA24" s="416">
        <v>0.25</v>
      </c>
      <c r="AB24" s="180">
        <v>0</v>
      </c>
      <c r="AC24" s="180">
        <v>0</v>
      </c>
      <c r="AD24" s="416">
        <v>0.25</v>
      </c>
      <c r="AE24" s="180">
        <v>0</v>
      </c>
      <c r="AF24" s="180">
        <v>0</v>
      </c>
      <c r="AG24" s="180">
        <v>25</v>
      </c>
      <c r="AH24" s="415"/>
      <c r="AI24" s="112"/>
      <c r="AJ24" s="112"/>
      <c r="AK24" s="112"/>
      <c r="AL24" s="112"/>
      <c r="AM24" s="112"/>
      <c r="AN24" s="112"/>
      <c r="AO24" s="112"/>
      <c r="AP24" s="112"/>
      <c r="AQ24" s="112"/>
      <c r="AR24" s="112"/>
      <c r="AS24" s="112"/>
      <c r="AT24" s="180"/>
      <c r="AU24" s="416"/>
      <c r="AV24" s="417"/>
      <c r="AW24" s="417"/>
      <c r="AX24" s="453"/>
    </row>
    <row r="25" spans="1:50" ht="118.5" customHeight="1">
      <c r="A25" s="452"/>
      <c r="B25" s="110"/>
      <c r="C25" s="110"/>
      <c r="D25" s="110"/>
      <c r="E25" s="110"/>
      <c r="F25" s="110"/>
      <c r="G25" s="418" t="s">
        <v>215</v>
      </c>
      <c r="H25" s="428" t="s">
        <v>140</v>
      </c>
      <c r="I25" s="429" t="s">
        <v>220</v>
      </c>
      <c r="J25" s="430" t="s">
        <v>221</v>
      </c>
      <c r="K25" s="111" t="s">
        <v>203</v>
      </c>
      <c r="L25" s="110"/>
      <c r="M25" s="111" t="s">
        <v>173</v>
      </c>
      <c r="N25" s="431" t="s">
        <v>222</v>
      </c>
      <c r="O25" s="377"/>
      <c r="P25" s="377"/>
      <c r="Q25" s="421">
        <v>1</v>
      </c>
      <c r="R25" s="377"/>
      <c r="S25" s="377"/>
      <c r="T25" s="414"/>
      <c r="U25" s="432" t="s">
        <v>223</v>
      </c>
      <c r="V25" s="180">
        <v>0</v>
      </c>
      <c r="W25" s="180">
        <v>0</v>
      </c>
      <c r="X25" s="180">
        <v>0</v>
      </c>
      <c r="Y25" s="180">
        <v>0</v>
      </c>
      <c r="Z25" s="180">
        <v>0</v>
      </c>
      <c r="AA25" s="180">
        <v>0</v>
      </c>
      <c r="AB25" s="421">
        <v>1</v>
      </c>
      <c r="AC25" s="180">
        <v>0</v>
      </c>
      <c r="AD25" s="180">
        <v>0</v>
      </c>
      <c r="AE25" s="180">
        <v>0</v>
      </c>
      <c r="AF25" s="180">
        <v>0</v>
      </c>
      <c r="AG25" s="180">
        <v>0</v>
      </c>
      <c r="AH25" s="415"/>
      <c r="AI25" s="112"/>
      <c r="AJ25" s="112"/>
      <c r="AK25" s="112"/>
      <c r="AL25" s="112"/>
      <c r="AM25" s="112"/>
      <c r="AN25" s="112"/>
      <c r="AO25" s="112"/>
      <c r="AP25" s="112"/>
      <c r="AQ25" s="112"/>
      <c r="AR25" s="112"/>
      <c r="AS25" s="112"/>
      <c r="AT25" s="180"/>
      <c r="AU25" s="416"/>
      <c r="AV25" s="417"/>
      <c r="AW25" s="417"/>
      <c r="AX25" s="453"/>
    </row>
    <row r="26" spans="1:50" ht="118.5" customHeight="1">
      <c r="A26" s="452"/>
      <c r="B26" s="110"/>
      <c r="C26" s="110"/>
      <c r="D26" s="110"/>
      <c r="E26" s="110"/>
      <c r="F26" s="110"/>
      <c r="G26" s="418" t="s">
        <v>215</v>
      </c>
      <c r="H26" s="428" t="s">
        <v>140</v>
      </c>
      <c r="I26" s="429" t="s">
        <v>224</v>
      </c>
      <c r="J26" s="430" t="s">
        <v>225</v>
      </c>
      <c r="K26" s="111" t="s">
        <v>203</v>
      </c>
      <c r="L26" s="110" t="s">
        <v>182</v>
      </c>
      <c r="M26" s="111" t="s">
        <v>226</v>
      </c>
      <c r="N26" s="431" t="s">
        <v>227</v>
      </c>
      <c r="O26" s="377"/>
      <c r="P26" s="377"/>
      <c r="Q26" s="377">
        <v>4</v>
      </c>
      <c r="R26" s="377"/>
      <c r="S26" s="377"/>
      <c r="T26" s="414" t="s">
        <v>199</v>
      </c>
      <c r="U26" s="428" t="s">
        <v>228</v>
      </c>
      <c r="V26" s="180">
        <v>0</v>
      </c>
      <c r="W26" s="180">
        <v>0</v>
      </c>
      <c r="X26" s="180">
        <v>1</v>
      </c>
      <c r="Y26" s="180">
        <v>0</v>
      </c>
      <c r="Z26" s="180">
        <v>0</v>
      </c>
      <c r="AA26" s="180">
        <v>1</v>
      </c>
      <c r="AB26" s="180">
        <v>0</v>
      </c>
      <c r="AC26" s="180">
        <v>0</v>
      </c>
      <c r="AD26" s="180">
        <v>1</v>
      </c>
      <c r="AE26" s="180">
        <v>0</v>
      </c>
      <c r="AF26" s="180">
        <v>0</v>
      </c>
      <c r="AG26" s="180">
        <v>1</v>
      </c>
      <c r="AH26" s="415"/>
      <c r="AI26" s="112"/>
      <c r="AJ26" s="112"/>
      <c r="AK26" s="112"/>
      <c r="AL26" s="112"/>
      <c r="AM26" s="112"/>
      <c r="AN26" s="112"/>
      <c r="AO26" s="112"/>
      <c r="AP26" s="112"/>
      <c r="AQ26" s="112"/>
      <c r="AR26" s="112"/>
      <c r="AS26" s="112"/>
      <c r="AT26" s="180">
        <f t="shared" ref="AT26" si="5">V26+W26+X26+Y26+Z26+AA26+AB26+AC26+AD26+AE26+AF26+AG26</f>
        <v>4</v>
      </c>
      <c r="AU26" s="416" t="e">
        <f t="shared" ref="AU26" si="6">AT26/O26</f>
        <v>#DIV/0!</v>
      </c>
      <c r="AV26" s="459" t="s">
        <v>229</v>
      </c>
      <c r="AW26" s="417"/>
      <c r="AX26" s="453"/>
    </row>
    <row r="27" spans="1:50">
      <c r="A27" s="885" t="s">
        <v>91</v>
      </c>
      <c r="B27" s="859"/>
      <c r="C27" s="859"/>
      <c r="D27" s="859"/>
      <c r="E27" s="859"/>
      <c r="F27" s="859"/>
      <c r="G27" s="859"/>
      <c r="H27" s="859"/>
      <c r="I27" s="859"/>
      <c r="J27" s="859"/>
      <c r="K27" s="859"/>
      <c r="L27" s="859"/>
      <c r="M27" s="859"/>
      <c r="N27" s="859"/>
      <c r="O27" s="859"/>
      <c r="P27" s="859"/>
      <c r="Q27" s="859"/>
      <c r="R27" s="859"/>
      <c r="S27" s="859"/>
      <c r="T27" s="859"/>
      <c r="U27" s="859"/>
      <c r="V27" s="886"/>
      <c r="W27" s="886"/>
      <c r="X27" s="886"/>
      <c r="Y27" s="886"/>
      <c r="Z27" s="886"/>
      <c r="AA27" s="886"/>
      <c r="AB27" s="886"/>
      <c r="AC27" s="886"/>
      <c r="AD27" s="886"/>
      <c r="AE27" s="886"/>
      <c r="AF27" s="886"/>
      <c r="AG27" s="886"/>
      <c r="AH27" s="859"/>
      <c r="AI27" s="859"/>
      <c r="AJ27" s="859"/>
      <c r="AK27" s="859"/>
      <c r="AL27" s="859"/>
      <c r="AM27" s="859"/>
      <c r="AN27" s="859"/>
      <c r="AO27" s="859"/>
      <c r="AP27" s="859"/>
      <c r="AQ27" s="859"/>
      <c r="AR27" s="859"/>
      <c r="AS27" s="859"/>
      <c r="AT27" s="859"/>
      <c r="AU27" s="859"/>
      <c r="AV27" s="859"/>
      <c r="AW27" s="859"/>
      <c r="AX27" s="887"/>
    </row>
    <row r="28" spans="1:50" ht="63" customHeight="1">
      <c r="A28" s="867" t="s">
        <v>230</v>
      </c>
      <c r="B28" s="868"/>
      <c r="C28" s="868"/>
      <c r="D28" s="840" t="s">
        <v>231</v>
      </c>
      <c r="E28" s="840"/>
      <c r="F28" s="840"/>
      <c r="G28" s="840"/>
      <c r="H28" s="840"/>
      <c r="I28" s="840"/>
      <c r="J28" s="862" t="s">
        <v>232</v>
      </c>
      <c r="K28" s="862"/>
      <c r="L28" s="862"/>
      <c r="M28" s="862"/>
      <c r="N28" s="862"/>
      <c r="O28" s="862"/>
      <c r="P28" s="840" t="s">
        <v>231</v>
      </c>
      <c r="Q28" s="840"/>
      <c r="R28" s="840"/>
      <c r="S28" s="840"/>
      <c r="T28" s="840"/>
      <c r="U28" s="840"/>
      <c r="V28" s="840" t="s">
        <v>231</v>
      </c>
      <c r="W28" s="840"/>
      <c r="X28" s="840"/>
      <c r="Y28" s="840"/>
      <c r="Z28" s="840"/>
      <c r="AA28" s="840"/>
      <c r="AB28" s="840"/>
      <c r="AC28" s="840"/>
      <c r="AD28" s="880" t="s">
        <v>231</v>
      </c>
      <c r="AE28" s="880"/>
      <c r="AF28" s="880"/>
      <c r="AG28" s="880"/>
      <c r="AH28" s="880"/>
      <c r="AI28" s="880"/>
      <c r="AJ28" s="880"/>
      <c r="AK28" s="880"/>
      <c r="AL28" s="880"/>
      <c r="AM28" s="880"/>
      <c r="AN28" s="880"/>
      <c r="AO28" s="880"/>
      <c r="AP28" s="862" t="s">
        <v>233</v>
      </c>
      <c r="AQ28" s="862"/>
      <c r="AR28" s="862"/>
      <c r="AS28" s="862"/>
      <c r="AT28" s="840" t="s">
        <v>234</v>
      </c>
      <c r="AU28" s="840"/>
      <c r="AV28" s="840"/>
      <c r="AW28" s="840"/>
      <c r="AX28" s="841"/>
    </row>
    <row r="29" spans="1:50" ht="15" customHeight="1">
      <c r="A29" s="867"/>
      <c r="B29" s="868"/>
      <c r="C29" s="868"/>
      <c r="D29" s="882" t="s">
        <v>235</v>
      </c>
      <c r="E29" s="883"/>
      <c r="F29" s="883"/>
      <c r="G29" s="883"/>
      <c r="H29" s="883"/>
      <c r="I29" s="884"/>
      <c r="J29" s="862"/>
      <c r="K29" s="862"/>
      <c r="L29" s="862"/>
      <c r="M29" s="862"/>
      <c r="N29" s="862"/>
      <c r="O29" s="862"/>
      <c r="P29" s="840" t="s">
        <v>236</v>
      </c>
      <c r="Q29" s="840"/>
      <c r="R29" s="840"/>
      <c r="S29" s="840"/>
      <c r="T29" s="840"/>
      <c r="U29" s="840"/>
      <c r="V29" s="840" t="s">
        <v>237</v>
      </c>
      <c r="W29" s="840"/>
      <c r="X29" s="840"/>
      <c r="Y29" s="840"/>
      <c r="Z29" s="840"/>
      <c r="AA29" s="840"/>
      <c r="AB29" s="840"/>
      <c r="AC29" s="840"/>
      <c r="AD29" s="880" t="s">
        <v>235</v>
      </c>
      <c r="AE29" s="880"/>
      <c r="AF29" s="880"/>
      <c r="AG29" s="880"/>
      <c r="AH29" s="880"/>
      <c r="AI29" s="880"/>
      <c r="AJ29" s="880"/>
      <c r="AK29" s="880"/>
      <c r="AL29" s="880"/>
      <c r="AM29" s="880"/>
      <c r="AN29" s="880"/>
      <c r="AO29" s="880"/>
      <c r="AP29" s="862"/>
      <c r="AQ29" s="862"/>
      <c r="AR29" s="862"/>
      <c r="AS29" s="862"/>
      <c r="AT29" s="840" t="s">
        <v>235</v>
      </c>
      <c r="AU29" s="840"/>
      <c r="AV29" s="840"/>
      <c r="AW29" s="840"/>
      <c r="AX29" s="841"/>
    </row>
    <row r="30" spans="1:50" ht="36.75" customHeight="1" thickBot="1">
      <c r="A30" s="869"/>
      <c r="B30" s="870"/>
      <c r="C30" s="870"/>
      <c r="D30" s="877" t="s">
        <v>238</v>
      </c>
      <c r="E30" s="878"/>
      <c r="F30" s="878"/>
      <c r="G30" s="878"/>
      <c r="H30" s="878"/>
      <c r="I30" s="879"/>
      <c r="J30" s="863"/>
      <c r="K30" s="863"/>
      <c r="L30" s="863"/>
      <c r="M30" s="863"/>
      <c r="N30" s="863"/>
      <c r="O30" s="863"/>
      <c r="P30" s="853" t="s">
        <v>239</v>
      </c>
      <c r="Q30" s="853"/>
      <c r="R30" s="853"/>
      <c r="S30" s="853"/>
      <c r="T30" s="853"/>
      <c r="U30" s="853"/>
      <c r="V30" s="853" t="s">
        <v>240</v>
      </c>
      <c r="W30" s="853"/>
      <c r="X30" s="853"/>
      <c r="Y30" s="853"/>
      <c r="Z30" s="853"/>
      <c r="AA30" s="853"/>
      <c r="AB30" s="853"/>
      <c r="AC30" s="853"/>
      <c r="AD30" s="881" t="s">
        <v>238</v>
      </c>
      <c r="AE30" s="881"/>
      <c r="AF30" s="881"/>
      <c r="AG30" s="881"/>
      <c r="AH30" s="881"/>
      <c r="AI30" s="881"/>
      <c r="AJ30" s="881"/>
      <c r="AK30" s="881"/>
      <c r="AL30" s="881"/>
      <c r="AM30" s="881"/>
      <c r="AN30" s="881"/>
      <c r="AO30" s="881"/>
      <c r="AP30" s="863"/>
      <c r="AQ30" s="863"/>
      <c r="AR30" s="863"/>
      <c r="AS30" s="863"/>
      <c r="AT30" s="853" t="s">
        <v>241</v>
      </c>
      <c r="AU30" s="853"/>
      <c r="AV30" s="853"/>
      <c r="AW30" s="853"/>
      <c r="AX30" s="854"/>
    </row>
  </sheetData>
  <mergeCells count="56">
    <mergeCell ref="A2:AV2"/>
    <mergeCell ref="A3:AV4"/>
    <mergeCell ref="AT11:AU11"/>
    <mergeCell ref="AW1:AX1"/>
    <mergeCell ref="AW2:AX2"/>
    <mergeCell ref="AW3:AX3"/>
    <mergeCell ref="AW4:AX4"/>
    <mergeCell ref="A1:AV1"/>
    <mergeCell ref="AX5:AX12"/>
    <mergeCell ref="H7:I7"/>
    <mergeCell ref="H8:I8"/>
    <mergeCell ref="AV5:AV12"/>
    <mergeCell ref="AH5:AU10"/>
    <mergeCell ref="K6:U8"/>
    <mergeCell ref="D9:AG9"/>
    <mergeCell ref="G11:H11"/>
    <mergeCell ref="AD30:AO30"/>
    <mergeCell ref="AH11:AS11"/>
    <mergeCell ref="P28:U28"/>
    <mergeCell ref="I11:I12"/>
    <mergeCell ref="J11:J12"/>
    <mergeCell ref="K11:K12"/>
    <mergeCell ref="V11:AG11"/>
    <mergeCell ref="V29:AC29"/>
    <mergeCell ref="V30:AC30"/>
    <mergeCell ref="J28:O30"/>
    <mergeCell ref="P29:U29"/>
    <mergeCell ref="P30:U30"/>
    <mergeCell ref="V28:AC28"/>
    <mergeCell ref="M11:M12"/>
    <mergeCell ref="D29:I29"/>
    <mergeCell ref="A27:AX27"/>
    <mergeCell ref="AT30:AX30"/>
    <mergeCell ref="A10:C10"/>
    <mergeCell ref="D10:AG10"/>
    <mergeCell ref="AP28:AS30"/>
    <mergeCell ref="AW5:AW12"/>
    <mergeCell ref="A28:C30"/>
    <mergeCell ref="D28:I28"/>
    <mergeCell ref="L11:L12"/>
    <mergeCell ref="U11:U12"/>
    <mergeCell ref="O11:S11"/>
    <mergeCell ref="T11:T12"/>
    <mergeCell ref="N11:N12"/>
    <mergeCell ref="A11:F11"/>
    <mergeCell ref="D30:I30"/>
    <mergeCell ref="AD28:AO28"/>
    <mergeCell ref="AD29:AO29"/>
    <mergeCell ref="AT29:AX29"/>
    <mergeCell ref="AT28:AX28"/>
    <mergeCell ref="A9:C9"/>
    <mergeCell ref="A5:AG5"/>
    <mergeCell ref="A6:C8"/>
    <mergeCell ref="D6:E8"/>
    <mergeCell ref="F6:G8"/>
    <mergeCell ref="H6:I6"/>
  </mergeCells>
  <printOptions horizontalCentered="1"/>
  <pageMargins left="0.19685039370078741" right="0.19685039370078741" top="0.19685039370078741" bottom="0.19685039370078741" header="0" footer="0"/>
  <pageSetup scale="23"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72839-99EE-4AF2-B98F-C9C707F752BE}">
  <sheetPr>
    <pageSetUpPr fitToPage="1"/>
  </sheetPr>
  <dimension ref="A1:CA72"/>
  <sheetViews>
    <sheetView topLeftCell="A35" zoomScale="75" zoomScaleNormal="75" workbookViewId="0">
      <selection activeCell="H39" sqref="H39"/>
    </sheetView>
  </sheetViews>
  <sheetFormatPr baseColWidth="10" defaultColWidth="19.42578125" defaultRowHeight="15"/>
  <cols>
    <col min="1" max="1" width="22.5703125" style="108" bestFit="1" customWidth="1"/>
    <col min="2" max="2" width="11" style="108" customWidth="1"/>
    <col min="3" max="3" width="13.28515625" style="108" bestFit="1" customWidth="1"/>
    <col min="4" max="4" width="11" style="108" customWidth="1"/>
    <col min="5" max="5" width="16.140625" style="108" customWidth="1"/>
    <col min="6" max="6" width="12.42578125" style="108" customWidth="1"/>
    <col min="7" max="7" width="14.28515625" style="108" customWidth="1"/>
    <col min="8" max="8" width="12" style="108" customWidth="1"/>
    <col min="9" max="9" width="16.7109375" style="108" customWidth="1"/>
    <col min="10" max="10" width="12" style="108" customWidth="1"/>
    <col min="11" max="11" width="16.28515625" style="108" customWidth="1"/>
    <col min="12" max="12" width="12.28515625" style="108" customWidth="1"/>
    <col min="13" max="13" width="17.42578125" style="108" customWidth="1"/>
    <col min="14" max="14" width="12" style="108" customWidth="1"/>
    <col min="15" max="15" width="16.5703125" style="108" customWidth="1"/>
    <col min="16" max="16" width="13.28515625" style="108" customWidth="1"/>
    <col min="17" max="17" width="16.5703125" style="108" customWidth="1"/>
    <col min="18" max="18" width="13.7109375" style="108" customWidth="1"/>
    <col min="19" max="19" width="15.7109375" style="108" customWidth="1"/>
    <col min="20" max="20" width="12.5703125" style="108" customWidth="1"/>
    <col min="21" max="21" width="15.140625" style="108" customWidth="1"/>
    <col min="22" max="22" width="12.28515625" style="108" customWidth="1"/>
    <col min="23" max="23" width="17.140625" style="108" customWidth="1"/>
    <col min="24" max="24" width="12.5703125" style="108" customWidth="1"/>
    <col min="25" max="25" width="17.7109375" style="108" customWidth="1"/>
    <col min="26" max="26" width="12.140625" style="108" customWidth="1"/>
    <col min="27" max="27" width="30.5703125" style="108" customWidth="1"/>
    <col min="28" max="31" width="8.140625" style="108" customWidth="1"/>
    <col min="32" max="32" width="9.42578125" style="108" customWidth="1"/>
    <col min="33" max="33" width="8.140625" style="108" customWidth="1"/>
    <col min="34" max="38" width="7.85546875" style="108" customWidth="1"/>
    <col min="39" max="39" width="11.28515625" style="108" customWidth="1"/>
    <col min="40" max="40" width="2.28515625" style="108" customWidth="1"/>
    <col min="41" max="41" width="19.42578125" style="108" customWidth="1"/>
    <col min="42" max="67" width="11.28515625" style="108" customWidth="1"/>
    <col min="68" max="79" width="8.85546875" style="108" customWidth="1"/>
    <col min="80" max="257" width="19.42578125" style="108"/>
    <col min="258" max="260" width="11" style="108" customWidth="1"/>
    <col min="261" max="261" width="16.140625" style="108" customWidth="1"/>
    <col min="262" max="262" width="12.42578125" style="108" customWidth="1"/>
    <col min="263" max="263" width="14.28515625" style="108" customWidth="1"/>
    <col min="264" max="264" width="12" style="108" customWidth="1"/>
    <col min="265" max="265" width="16.7109375" style="108" customWidth="1"/>
    <col min="266" max="266" width="12" style="108" customWidth="1"/>
    <col min="267" max="267" width="16.28515625" style="108" customWidth="1"/>
    <col min="268" max="268" width="12.28515625" style="108" customWidth="1"/>
    <col min="269" max="269" width="17.42578125" style="108" customWidth="1"/>
    <col min="270" max="270" width="12" style="108" customWidth="1"/>
    <col min="271" max="271" width="16.5703125" style="108" customWidth="1"/>
    <col min="272" max="272" width="13.28515625" style="108" customWidth="1"/>
    <col min="273" max="273" width="16.5703125" style="108" customWidth="1"/>
    <col min="274" max="274" width="13.7109375" style="108" customWidth="1"/>
    <col min="275" max="275" width="15.7109375" style="108" customWidth="1"/>
    <col min="276" max="276" width="12.5703125" style="108" customWidth="1"/>
    <col min="277" max="277" width="19.140625" style="108" customWidth="1"/>
    <col min="278" max="278" width="12.28515625" style="108" customWidth="1"/>
    <col min="279" max="279" width="17.140625" style="108" customWidth="1"/>
    <col min="280" max="280" width="12.5703125" style="108" customWidth="1"/>
    <col min="281" max="281" width="17.7109375" style="108" customWidth="1"/>
    <col min="282" max="282" width="12.140625" style="108" customWidth="1"/>
    <col min="283" max="283" width="30.5703125" style="108" customWidth="1"/>
    <col min="284" max="287" width="8.140625" style="108" customWidth="1"/>
    <col min="288" max="288" width="9.42578125" style="108" customWidth="1"/>
    <col min="289" max="289" width="8.140625" style="108" customWidth="1"/>
    <col min="290" max="294" width="7.85546875" style="108" customWidth="1"/>
    <col min="295" max="295" width="11.28515625" style="108" customWidth="1"/>
    <col min="296" max="296" width="2.28515625" style="108" customWidth="1"/>
    <col min="297" max="297" width="19.42578125" style="108"/>
    <col min="298" max="323" width="11.28515625" style="108" customWidth="1"/>
    <col min="324" max="335" width="8.85546875" style="108" customWidth="1"/>
    <col min="336" max="513" width="19.42578125" style="108"/>
    <col min="514" max="516" width="11" style="108" customWidth="1"/>
    <col min="517" max="517" width="16.140625" style="108" customWidth="1"/>
    <col min="518" max="518" width="12.42578125" style="108" customWidth="1"/>
    <col min="519" max="519" width="14.28515625" style="108" customWidth="1"/>
    <col min="520" max="520" width="12" style="108" customWidth="1"/>
    <col min="521" max="521" width="16.7109375" style="108" customWidth="1"/>
    <col min="522" max="522" width="12" style="108" customWidth="1"/>
    <col min="523" max="523" width="16.28515625" style="108" customWidth="1"/>
    <col min="524" max="524" width="12.28515625" style="108" customWidth="1"/>
    <col min="525" max="525" width="17.42578125" style="108" customWidth="1"/>
    <col min="526" max="526" width="12" style="108" customWidth="1"/>
    <col min="527" max="527" width="16.5703125" style="108" customWidth="1"/>
    <col min="528" max="528" width="13.28515625" style="108" customWidth="1"/>
    <col min="529" max="529" width="16.5703125" style="108" customWidth="1"/>
    <col min="530" max="530" width="13.7109375" style="108" customWidth="1"/>
    <col min="531" max="531" width="15.7109375" style="108" customWidth="1"/>
    <col min="532" max="532" width="12.5703125" style="108" customWidth="1"/>
    <col min="533" max="533" width="19.140625" style="108" customWidth="1"/>
    <col min="534" max="534" width="12.28515625" style="108" customWidth="1"/>
    <col min="535" max="535" width="17.140625" style="108" customWidth="1"/>
    <col min="536" max="536" width="12.5703125" style="108" customWidth="1"/>
    <col min="537" max="537" width="17.7109375" style="108" customWidth="1"/>
    <col min="538" max="538" width="12.140625" style="108" customWidth="1"/>
    <col min="539" max="539" width="30.5703125" style="108" customWidth="1"/>
    <col min="540" max="543" width="8.140625" style="108" customWidth="1"/>
    <col min="544" max="544" width="9.42578125" style="108" customWidth="1"/>
    <col min="545" max="545" width="8.140625" style="108" customWidth="1"/>
    <col min="546" max="550" width="7.85546875" style="108" customWidth="1"/>
    <col min="551" max="551" width="11.28515625" style="108" customWidth="1"/>
    <col min="552" max="552" width="2.28515625" style="108" customWidth="1"/>
    <col min="553" max="553" width="19.42578125" style="108"/>
    <col min="554" max="579" width="11.28515625" style="108" customWidth="1"/>
    <col min="580" max="591" width="8.85546875" style="108" customWidth="1"/>
    <col min="592" max="769" width="19.42578125" style="108"/>
    <col min="770" max="772" width="11" style="108" customWidth="1"/>
    <col min="773" max="773" width="16.140625" style="108" customWidth="1"/>
    <col min="774" max="774" width="12.42578125" style="108" customWidth="1"/>
    <col min="775" max="775" width="14.28515625" style="108" customWidth="1"/>
    <col min="776" max="776" width="12" style="108" customWidth="1"/>
    <col min="777" max="777" width="16.7109375" style="108" customWidth="1"/>
    <col min="778" max="778" width="12" style="108" customWidth="1"/>
    <col min="779" max="779" width="16.28515625" style="108" customWidth="1"/>
    <col min="780" max="780" width="12.28515625" style="108" customWidth="1"/>
    <col min="781" max="781" width="17.42578125" style="108" customWidth="1"/>
    <col min="782" max="782" width="12" style="108" customWidth="1"/>
    <col min="783" max="783" width="16.5703125" style="108" customWidth="1"/>
    <col min="784" max="784" width="13.28515625" style="108" customWidth="1"/>
    <col min="785" max="785" width="16.5703125" style="108" customWidth="1"/>
    <col min="786" max="786" width="13.7109375" style="108" customWidth="1"/>
    <col min="787" max="787" width="15.7109375" style="108" customWidth="1"/>
    <col min="788" max="788" width="12.5703125" style="108" customWidth="1"/>
    <col min="789" max="789" width="19.140625" style="108" customWidth="1"/>
    <col min="790" max="790" width="12.28515625" style="108" customWidth="1"/>
    <col min="791" max="791" width="17.140625" style="108" customWidth="1"/>
    <col min="792" max="792" width="12.5703125" style="108" customWidth="1"/>
    <col min="793" max="793" width="17.7109375" style="108" customWidth="1"/>
    <col min="794" max="794" width="12.140625" style="108" customWidth="1"/>
    <col min="795" max="795" width="30.5703125" style="108" customWidth="1"/>
    <col min="796" max="799" width="8.140625" style="108" customWidth="1"/>
    <col min="800" max="800" width="9.42578125" style="108" customWidth="1"/>
    <col min="801" max="801" width="8.140625" style="108" customWidth="1"/>
    <col min="802" max="806" width="7.85546875" style="108" customWidth="1"/>
    <col min="807" max="807" width="11.28515625" style="108" customWidth="1"/>
    <col min="808" max="808" width="2.28515625" style="108" customWidth="1"/>
    <col min="809" max="809" width="19.42578125" style="108"/>
    <col min="810" max="835" width="11.28515625" style="108" customWidth="1"/>
    <col min="836" max="847" width="8.85546875" style="108" customWidth="1"/>
    <col min="848" max="1025" width="19.42578125" style="108"/>
    <col min="1026" max="1028" width="11" style="108" customWidth="1"/>
    <col min="1029" max="1029" width="16.140625" style="108" customWidth="1"/>
    <col min="1030" max="1030" width="12.42578125" style="108" customWidth="1"/>
    <col min="1031" max="1031" width="14.28515625" style="108" customWidth="1"/>
    <col min="1032" max="1032" width="12" style="108" customWidth="1"/>
    <col min="1033" max="1033" width="16.7109375" style="108" customWidth="1"/>
    <col min="1034" max="1034" width="12" style="108" customWidth="1"/>
    <col min="1035" max="1035" width="16.28515625" style="108" customWidth="1"/>
    <col min="1036" max="1036" width="12.28515625" style="108" customWidth="1"/>
    <col min="1037" max="1037" width="17.42578125" style="108" customWidth="1"/>
    <col min="1038" max="1038" width="12" style="108" customWidth="1"/>
    <col min="1039" max="1039" width="16.5703125" style="108" customWidth="1"/>
    <col min="1040" max="1040" width="13.28515625" style="108" customWidth="1"/>
    <col min="1041" max="1041" width="16.5703125" style="108" customWidth="1"/>
    <col min="1042" max="1042" width="13.7109375" style="108" customWidth="1"/>
    <col min="1043" max="1043" width="15.7109375" style="108" customWidth="1"/>
    <col min="1044" max="1044" width="12.5703125" style="108" customWidth="1"/>
    <col min="1045" max="1045" width="19.140625" style="108" customWidth="1"/>
    <col min="1046" max="1046" width="12.28515625" style="108" customWidth="1"/>
    <col min="1047" max="1047" width="17.140625" style="108" customWidth="1"/>
    <col min="1048" max="1048" width="12.5703125" style="108" customWidth="1"/>
    <col min="1049" max="1049" width="17.7109375" style="108" customWidth="1"/>
    <col min="1050" max="1050" width="12.140625" style="108" customWidth="1"/>
    <col min="1051" max="1051" width="30.5703125" style="108" customWidth="1"/>
    <col min="1052" max="1055" width="8.140625" style="108" customWidth="1"/>
    <col min="1056" max="1056" width="9.42578125" style="108" customWidth="1"/>
    <col min="1057" max="1057" width="8.140625" style="108" customWidth="1"/>
    <col min="1058" max="1062" width="7.85546875" style="108" customWidth="1"/>
    <col min="1063" max="1063" width="11.28515625" style="108" customWidth="1"/>
    <col min="1064" max="1064" width="2.28515625" style="108" customWidth="1"/>
    <col min="1065" max="1065" width="19.42578125" style="108"/>
    <col min="1066" max="1091" width="11.28515625" style="108" customWidth="1"/>
    <col min="1092" max="1103" width="8.85546875" style="108" customWidth="1"/>
    <col min="1104" max="1281" width="19.42578125" style="108"/>
    <col min="1282" max="1284" width="11" style="108" customWidth="1"/>
    <col min="1285" max="1285" width="16.140625" style="108" customWidth="1"/>
    <col min="1286" max="1286" width="12.42578125" style="108" customWidth="1"/>
    <col min="1287" max="1287" width="14.28515625" style="108" customWidth="1"/>
    <col min="1288" max="1288" width="12" style="108" customWidth="1"/>
    <col min="1289" max="1289" width="16.7109375" style="108" customWidth="1"/>
    <col min="1290" max="1290" width="12" style="108" customWidth="1"/>
    <col min="1291" max="1291" width="16.28515625" style="108" customWidth="1"/>
    <col min="1292" max="1292" width="12.28515625" style="108" customWidth="1"/>
    <col min="1293" max="1293" width="17.42578125" style="108" customWidth="1"/>
    <col min="1294" max="1294" width="12" style="108" customWidth="1"/>
    <col min="1295" max="1295" width="16.5703125" style="108" customWidth="1"/>
    <col min="1296" max="1296" width="13.28515625" style="108" customWidth="1"/>
    <col min="1297" max="1297" width="16.5703125" style="108" customWidth="1"/>
    <col min="1298" max="1298" width="13.7109375" style="108" customWidth="1"/>
    <col min="1299" max="1299" width="15.7109375" style="108" customWidth="1"/>
    <col min="1300" max="1300" width="12.5703125" style="108" customWidth="1"/>
    <col min="1301" max="1301" width="19.140625" style="108" customWidth="1"/>
    <col min="1302" max="1302" width="12.28515625" style="108" customWidth="1"/>
    <col min="1303" max="1303" width="17.140625" style="108" customWidth="1"/>
    <col min="1304" max="1304" width="12.5703125" style="108" customWidth="1"/>
    <col min="1305" max="1305" width="17.7109375" style="108" customWidth="1"/>
    <col min="1306" max="1306" width="12.140625" style="108" customWidth="1"/>
    <col min="1307" max="1307" width="30.5703125" style="108" customWidth="1"/>
    <col min="1308" max="1311" width="8.140625" style="108" customWidth="1"/>
    <col min="1312" max="1312" width="9.42578125" style="108" customWidth="1"/>
    <col min="1313" max="1313" width="8.140625" style="108" customWidth="1"/>
    <col min="1314" max="1318" width="7.85546875" style="108" customWidth="1"/>
    <col min="1319" max="1319" width="11.28515625" style="108" customWidth="1"/>
    <col min="1320" max="1320" width="2.28515625" style="108" customWidth="1"/>
    <col min="1321" max="1321" width="19.42578125" style="108"/>
    <col min="1322" max="1347" width="11.28515625" style="108" customWidth="1"/>
    <col min="1348" max="1359" width="8.85546875" style="108" customWidth="1"/>
    <col min="1360" max="1537" width="19.42578125" style="108"/>
    <col min="1538" max="1540" width="11" style="108" customWidth="1"/>
    <col min="1541" max="1541" width="16.140625" style="108" customWidth="1"/>
    <col min="1542" max="1542" width="12.42578125" style="108" customWidth="1"/>
    <col min="1543" max="1543" width="14.28515625" style="108" customWidth="1"/>
    <col min="1544" max="1544" width="12" style="108" customWidth="1"/>
    <col min="1545" max="1545" width="16.7109375" style="108" customWidth="1"/>
    <col min="1546" max="1546" width="12" style="108" customWidth="1"/>
    <col min="1547" max="1547" width="16.28515625" style="108" customWidth="1"/>
    <col min="1548" max="1548" width="12.28515625" style="108" customWidth="1"/>
    <col min="1549" max="1549" width="17.42578125" style="108" customWidth="1"/>
    <col min="1550" max="1550" width="12" style="108" customWidth="1"/>
    <col min="1551" max="1551" width="16.5703125" style="108" customWidth="1"/>
    <col min="1552" max="1552" width="13.28515625" style="108" customWidth="1"/>
    <col min="1553" max="1553" width="16.5703125" style="108" customWidth="1"/>
    <col min="1554" max="1554" width="13.7109375" style="108" customWidth="1"/>
    <col min="1555" max="1555" width="15.7109375" style="108" customWidth="1"/>
    <col min="1556" max="1556" width="12.5703125" style="108" customWidth="1"/>
    <col min="1557" max="1557" width="19.140625" style="108" customWidth="1"/>
    <col min="1558" max="1558" width="12.28515625" style="108" customWidth="1"/>
    <col min="1559" max="1559" width="17.140625" style="108" customWidth="1"/>
    <col min="1560" max="1560" width="12.5703125" style="108" customWidth="1"/>
    <col min="1561" max="1561" width="17.7109375" style="108" customWidth="1"/>
    <col min="1562" max="1562" width="12.140625" style="108" customWidth="1"/>
    <col min="1563" max="1563" width="30.5703125" style="108" customWidth="1"/>
    <col min="1564" max="1567" width="8.140625" style="108" customWidth="1"/>
    <col min="1568" max="1568" width="9.42578125" style="108" customWidth="1"/>
    <col min="1569" max="1569" width="8.140625" style="108" customWidth="1"/>
    <col min="1570" max="1574" width="7.85546875" style="108" customWidth="1"/>
    <col min="1575" max="1575" width="11.28515625" style="108" customWidth="1"/>
    <col min="1576" max="1576" width="2.28515625" style="108" customWidth="1"/>
    <col min="1577" max="1577" width="19.42578125" style="108"/>
    <col min="1578" max="1603" width="11.28515625" style="108" customWidth="1"/>
    <col min="1604" max="1615" width="8.85546875" style="108" customWidth="1"/>
    <col min="1616" max="1793" width="19.42578125" style="108"/>
    <col min="1794" max="1796" width="11" style="108" customWidth="1"/>
    <col min="1797" max="1797" width="16.140625" style="108" customWidth="1"/>
    <col min="1798" max="1798" width="12.42578125" style="108" customWidth="1"/>
    <col min="1799" max="1799" width="14.28515625" style="108" customWidth="1"/>
    <col min="1800" max="1800" width="12" style="108" customWidth="1"/>
    <col min="1801" max="1801" width="16.7109375" style="108" customWidth="1"/>
    <col min="1802" max="1802" width="12" style="108" customWidth="1"/>
    <col min="1803" max="1803" width="16.28515625" style="108" customWidth="1"/>
    <col min="1804" max="1804" width="12.28515625" style="108" customWidth="1"/>
    <col min="1805" max="1805" width="17.42578125" style="108" customWidth="1"/>
    <col min="1806" max="1806" width="12" style="108" customWidth="1"/>
    <col min="1807" max="1807" width="16.5703125" style="108" customWidth="1"/>
    <col min="1808" max="1808" width="13.28515625" style="108" customWidth="1"/>
    <col min="1809" max="1809" width="16.5703125" style="108" customWidth="1"/>
    <col min="1810" max="1810" width="13.7109375" style="108" customWidth="1"/>
    <col min="1811" max="1811" width="15.7109375" style="108" customWidth="1"/>
    <col min="1812" max="1812" width="12.5703125" style="108" customWidth="1"/>
    <col min="1813" max="1813" width="19.140625" style="108" customWidth="1"/>
    <col min="1814" max="1814" width="12.28515625" style="108" customWidth="1"/>
    <col min="1815" max="1815" width="17.140625" style="108" customWidth="1"/>
    <col min="1816" max="1816" width="12.5703125" style="108" customWidth="1"/>
    <col min="1817" max="1817" width="17.7109375" style="108" customWidth="1"/>
    <col min="1818" max="1818" width="12.140625" style="108" customWidth="1"/>
    <col min="1819" max="1819" width="30.5703125" style="108" customWidth="1"/>
    <col min="1820" max="1823" width="8.140625" style="108" customWidth="1"/>
    <col min="1824" max="1824" width="9.42578125" style="108" customWidth="1"/>
    <col min="1825" max="1825" width="8.140625" style="108" customWidth="1"/>
    <col min="1826" max="1830" width="7.85546875" style="108" customWidth="1"/>
    <col min="1831" max="1831" width="11.28515625" style="108" customWidth="1"/>
    <col min="1832" max="1832" width="2.28515625" style="108" customWidth="1"/>
    <col min="1833" max="1833" width="19.42578125" style="108"/>
    <col min="1834" max="1859" width="11.28515625" style="108" customWidth="1"/>
    <col min="1860" max="1871" width="8.85546875" style="108" customWidth="1"/>
    <col min="1872" max="2049" width="19.42578125" style="108"/>
    <col min="2050" max="2052" width="11" style="108" customWidth="1"/>
    <col min="2053" max="2053" width="16.140625" style="108" customWidth="1"/>
    <col min="2054" max="2054" width="12.42578125" style="108" customWidth="1"/>
    <col min="2055" max="2055" width="14.28515625" style="108" customWidth="1"/>
    <col min="2056" max="2056" width="12" style="108" customWidth="1"/>
    <col min="2057" max="2057" width="16.7109375" style="108" customWidth="1"/>
    <col min="2058" max="2058" width="12" style="108" customWidth="1"/>
    <col min="2059" max="2059" width="16.28515625" style="108" customWidth="1"/>
    <col min="2060" max="2060" width="12.28515625" style="108" customWidth="1"/>
    <col min="2061" max="2061" width="17.42578125" style="108" customWidth="1"/>
    <col min="2062" max="2062" width="12" style="108" customWidth="1"/>
    <col min="2063" max="2063" width="16.5703125" style="108" customWidth="1"/>
    <col min="2064" max="2064" width="13.28515625" style="108" customWidth="1"/>
    <col min="2065" max="2065" width="16.5703125" style="108" customWidth="1"/>
    <col min="2066" max="2066" width="13.7109375" style="108" customWidth="1"/>
    <col min="2067" max="2067" width="15.7109375" style="108" customWidth="1"/>
    <col min="2068" max="2068" width="12.5703125" style="108" customWidth="1"/>
    <col min="2069" max="2069" width="19.140625" style="108" customWidth="1"/>
    <col min="2070" max="2070" width="12.28515625" style="108" customWidth="1"/>
    <col min="2071" max="2071" width="17.140625" style="108" customWidth="1"/>
    <col min="2072" max="2072" width="12.5703125" style="108" customWidth="1"/>
    <col min="2073" max="2073" width="17.7109375" style="108" customWidth="1"/>
    <col min="2074" max="2074" width="12.140625" style="108" customWidth="1"/>
    <col min="2075" max="2075" width="30.5703125" style="108" customWidth="1"/>
    <col min="2076" max="2079" width="8.140625" style="108" customWidth="1"/>
    <col min="2080" max="2080" width="9.42578125" style="108" customWidth="1"/>
    <col min="2081" max="2081" width="8.140625" style="108" customWidth="1"/>
    <col min="2082" max="2086" width="7.85546875" style="108" customWidth="1"/>
    <col min="2087" max="2087" width="11.28515625" style="108" customWidth="1"/>
    <col min="2088" max="2088" width="2.28515625" style="108" customWidth="1"/>
    <col min="2089" max="2089" width="19.42578125" style="108"/>
    <col min="2090" max="2115" width="11.28515625" style="108" customWidth="1"/>
    <col min="2116" max="2127" width="8.85546875" style="108" customWidth="1"/>
    <col min="2128" max="2305" width="19.42578125" style="108"/>
    <col min="2306" max="2308" width="11" style="108" customWidth="1"/>
    <col min="2309" max="2309" width="16.140625" style="108" customWidth="1"/>
    <col min="2310" max="2310" width="12.42578125" style="108" customWidth="1"/>
    <col min="2311" max="2311" width="14.28515625" style="108" customWidth="1"/>
    <col min="2312" max="2312" width="12" style="108" customWidth="1"/>
    <col min="2313" max="2313" width="16.7109375" style="108" customWidth="1"/>
    <col min="2314" max="2314" width="12" style="108" customWidth="1"/>
    <col min="2315" max="2315" width="16.28515625" style="108" customWidth="1"/>
    <col min="2316" max="2316" width="12.28515625" style="108" customWidth="1"/>
    <col min="2317" max="2317" width="17.42578125" style="108" customWidth="1"/>
    <col min="2318" max="2318" width="12" style="108" customWidth="1"/>
    <col min="2319" max="2319" width="16.5703125" style="108" customWidth="1"/>
    <col min="2320" max="2320" width="13.28515625" style="108" customWidth="1"/>
    <col min="2321" max="2321" width="16.5703125" style="108" customWidth="1"/>
    <col min="2322" max="2322" width="13.7109375" style="108" customWidth="1"/>
    <col min="2323" max="2323" width="15.7109375" style="108" customWidth="1"/>
    <col min="2324" max="2324" width="12.5703125" style="108" customWidth="1"/>
    <col min="2325" max="2325" width="19.140625" style="108" customWidth="1"/>
    <col min="2326" max="2326" width="12.28515625" style="108" customWidth="1"/>
    <col min="2327" max="2327" width="17.140625" style="108" customWidth="1"/>
    <col min="2328" max="2328" width="12.5703125" style="108" customWidth="1"/>
    <col min="2329" max="2329" width="17.7109375" style="108" customWidth="1"/>
    <col min="2330" max="2330" width="12.140625" style="108" customWidth="1"/>
    <col min="2331" max="2331" width="30.5703125" style="108" customWidth="1"/>
    <col min="2332" max="2335" width="8.140625" style="108" customWidth="1"/>
    <col min="2336" max="2336" width="9.42578125" style="108" customWidth="1"/>
    <col min="2337" max="2337" width="8.140625" style="108" customWidth="1"/>
    <col min="2338" max="2342" width="7.85546875" style="108" customWidth="1"/>
    <col min="2343" max="2343" width="11.28515625" style="108" customWidth="1"/>
    <col min="2344" max="2344" width="2.28515625" style="108" customWidth="1"/>
    <col min="2345" max="2345" width="19.42578125" style="108"/>
    <col min="2346" max="2371" width="11.28515625" style="108" customWidth="1"/>
    <col min="2372" max="2383" width="8.85546875" style="108" customWidth="1"/>
    <col min="2384" max="2561" width="19.42578125" style="108"/>
    <col min="2562" max="2564" width="11" style="108" customWidth="1"/>
    <col min="2565" max="2565" width="16.140625" style="108" customWidth="1"/>
    <col min="2566" max="2566" width="12.42578125" style="108" customWidth="1"/>
    <col min="2567" max="2567" width="14.28515625" style="108" customWidth="1"/>
    <col min="2568" max="2568" width="12" style="108" customWidth="1"/>
    <col min="2569" max="2569" width="16.7109375" style="108" customWidth="1"/>
    <col min="2570" max="2570" width="12" style="108" customWidth="1"/>
    <col min="2571" max="2571" width="16.28515625" style="108" customWidth="1"/>
    <col min="2572" max="2572" width="12.28515625" style="108" customWidth="1"/>
    <col min="2573" max="2573" width="17.42578125" style="108" customWidth="1"/>
    <col min="2574" max="2574" width="12" style="108" customWidth="1"/>
    <col min="2575" max="2575" width="16.5703125" style="108" customWidth="1"/>
    <col min="2576" max="2576" width="13.28515625" style="108" customWidth="1"/>
    <col min="2577" max="2577" width="16.5703125" style="108" customWidth="1"/>
    <col min="2578" max="2578" width="13.7109375" style="108" customWidth="1"/>
    <col min="2579" max="2579" width="15.7109375" style="108" customWidth="1"/>
    <col min="2580" max="2580" width="12.5703125" style="108" customWidth="1"/>
    <col min="2581" max="2581" width="19.140625" style="108" customWidth="1"/>
    <col min="2582" max="2582" width="12.28515625" style="108" customWidth="1"/>
    <col min="2583" max="2583" width="17.140625" style="108" customWidth="1"/>
    <col min="2584" max="2584" width="12.5703125" style="108" customWidth="1"/>
    <col min="2585" max="2585" width="17.7109375" style="108" customWidth="1"/>
    <col min="2586" max="2586" width="12.140625" style="108" customWidth="1"/>
    <col min="2587" max="2587" width="30.5703125" style="108" customWidth="1"/>
    <col min="2588" max="2591" width="8.140625" style="108" customWidth="1"/>
    <col min="2592" max="2592" width="9.42578125" style="108" customWidth="1"/>
    <col min="2593" max="2593" width="8.140625" style="108" customWidth="1"/>
    <col min="2594" max="2598" width="7.85546875" style="108" customWidth="1"/>
    <col min="2599" max="2599" width="11.28515625" style="108" customWidth="1"/>
    <col min="2600" max="2600" width="2.28515625" style="108" customWidth="1"/>
    <col min="2601" max="2601" width="19.42578125" style="108"/>
    <col min="2602" max="2627" width="11.28515625" style="108" customWidth="1"/>
    <col min="2628" max="2639" width="8.85546875" style="108" customWidth="1"/>
    <col min="2640" max="2817" width="19.42578125" style="108"/>
    <col min="2818" max="2820" width="11" style="108" customWidth="1"/>
    <col min="2821" max="2821" width="16.140625" style="108" customWidth="1"/>
    <col min="2822" max="2822" width="12.42578125" style="108" customWidth="1"/>
    <col min="2823" max="2823" width="14.28515625" style="108" customWidth="1"/>
    <col min="2824" max="2824" width="12" style="108" customWidth="1"/>
    <col min="2825" max="2825" width="16.7109375" style="108" customWidth="1"/>
    <col min="2826" max="2826" width="12" style="108" customWidth="1"/>
    <col min="2827" max="2827" width="16.28515625" style="108" customWidth="1"/>
    <col min="2828" max="2828" width="12.28515625" style="108" customWidth="1"/>
    <col min="2829" max="2829" width="17.42578125" style="108" customWidth="1"/>
    <col min="2830" max="2830" width="12" style="108" customWidth="1"/>
    <col min="2831" max="2831" width="16.5703125" style="108" customWidth="1"/>
    <col min="2832" max="2832" width="13.28515625" style="108" customWidth="1"/>
    <col min="2833" max="2833" width="16.5703125" style="108" customWidth="1"/>
    <col min="2834" max="2834" width="13.7109375" style="108" customWidth="1"/>
    <col min="2835" max="2835" width="15.7109375" style="108" customWidth="1"/>
    <col min="2836" max="2836" width="12.5703125" style="108" customWidth="1"/>
    <col min="2837" max="2837" width="19.140625" style="108" customWidth="1"/>
    <col min="2838" max="2838" width="12.28515625" style="108" customWidth="1"/>
    <col min="2839" max="2839" width="17.140625" style="108" customWidth="1"/>
    <col min="2840" max="2840" width="12.5703125" style="108" customWidth="1"/>
    <col min="2841" max="2841" width="17.7109375" style="108" customWidth="1"/>
    <col min="2842" max="2842" width="12.140625" style="108" customWidth="1"/>
    <col min="2843" max="2843" width="30.5703125" style="108" customWidth="1"/>
    <col min="2844" max="2847" width="8.140625" style="108" customWidth="1"/>
    <col min="2848" max="2848" width="9.42578125" style="108" customWidth="1"/>
    <col min="2849" max="2849" width="8.140625" style="108" customWidth="1"/>
    <col min="2850" max="2854" width="7.85546875" style="108" customWidth="1"/>
    <col min="2855" max="2855" width="11.28515625" style="108" customWidth="1"/>
    <col min="2856" max="2856" width="2.28515625" style="108" customWidth="1"/>
    <col min="2857" max="2857" width="19.42578125" style="108"/>
    <col min="2858" max="2883" width="11.28515625" style="108" customWidth="1"/>
    <col min="2884" max="2895" width="8.85546875" style="108" customWidth="1"/>
    <col min="2896" max="3073" width="19.42578125" style="108"/>
    <col min="3074" max="3076" width="11" style="108" customWidth="1"/>
    <col min="3077" max="3077" width="16.140625" style="108" customWidth="1"/>
    <col min="3078" max="3078" width="12.42578125" style="108" customWidth="1"/>
    <col min="3079" max="3079" width="14.28515625" style="108" customWidth="1"/>
    <col min="3080" max="3080" width="12" style="108" customWidth="1"/>
    <col min="3081" max="3081" width="16.7109375" style="108" customWidth="1"/>
    <col min="3082" max="3082" width="12" style="108" customWidth="1"/>
    <col min="3083" max="3083" width="16.28515625" style="108" customWidth="1"/>
    <col min="3084" max="3084" width="12.28515625" style="108" customWidth="1"/>
    <col min="3085" max="3085" width="17.42578125" style="108" customWidth="1"/>
    <col min="3086" max="3086" width="12" style="108" customWidth="1"/>
    <col min="3087" max="3087" width="16.5703125" style="108" customWidth="1"/>
    <col min="3088" max="3088" width="13.28515625" style="108" customWidth="1"/>
    <col min="3089" max="3089" width="16.5703125" style="108" customWidth="1"/>
    <col min="3090" max="3090" width="13.7109375" style="108" customWidth="1"/>
    <col min="3091" max="3091" width="15.7109375" style="108" customWidth="1"/>
    <col min="3092" max="3092" width="12.5703125" style="108" customWidth="1"/>
    <col min="3093" max="3093" width="19.140625" style="108" customWidth="1"/>
    <col min="3094" max="3094" width="12.28515625" style="108" customWidth="1"/>
    <col min="3095" max="3095" width="17.140625" style="108" customWidth="1"/>
    <col min="3096" max="3096" width="12.5703125" style="108" customWidth="1"/>
    <col min="3097" max="3097" width="17.7109375" style="108" customWidth="1"/>
    <col min="3098" max="3098" width="12.140625" style="108" customWidth="1"/>
    <col min="3099" max="3099" width="30.5703125" style="108" customWidth="1"/>
    <col min="3100" max="3103" width="8.140625" style="108" customWidth="1"/>
    <col min="3104" max="3104" width="9.42578125" style="108" customWidth="1"/>
    <col min="3105" max="3105" width="8.140625" style="108" customWidth="1"/>
    <col min="3106" max="3110" width="7.85546875" style="108" customWidth="1"/>
    <col min="3111" max="3111" width="11.28515625" style="108" customWidth="1"/>
    <col min="3112" max="3112" width="2.28515625" style="108" customWidth="1"/>
    <col min="3113" max="3113" width="19.42578125" style="108"/>
    <col min="3114" max="3139" width="11.28515625" style="108" customWidth="1"/>
    <col min="3140" max="3151" width="8.85546875" style="108" customWidth="1"/>
    <col min="3152" max="3329" width="19.42578125" style="108"/>
    <col min="3330" max="3332" width="11" style="108" customWidth="1"/>
    <col min="3333" max="3333" width="16.140625" style="108" customWidth="1"/>
    <col min="3334" max="3334" width="12.42578125" style="108" customWidth="1"/>
    <col min="3335" max="3335" width="14.28515625" style="108" customWidth="1"/>
    <col min="3336" max="3336" width="12" style="108" customWidth="1"/>
    <col min="3337" max="3337" width="16.7109375" style="108" customWidth="1"/>
    <col min="3338" max="3338" width="12" style="108" customWidth="1"/>
    <col min="3339" max="3339" width="16.28515625" style="108" customWidth="1"/>
    <col min="3340" max="3340" width="12.28515625" style="108" customWidth="1"/>
    <col min="3341" max="3341" width="17.42578125" style="108" customWidth="1"/>
    <col min="3342" max="3342" width="12" style="108" customWidth="1"/>
    <col min="3343" max="3343" width="16.5703125" style="108" customWidth="1"/>
    <col min="3344" max="3344" width="13.28515625" style="108" customWidth="1"/>
    <col min="3345" max="3345" width="16.5703125" style="108" customWidth="1"/>
    <col min="3346" max="3346" width="13.7109375" style="108" customWidth="1"/>
    <col min="3347" max="3347" width="15.7109375" style="108" customWidth="1"/>
    <col min="3348" max="3348" width="12.5703125" style="108" customWidth="1"/>
    <col min="3349" max="3349" width="19.140625" style="108" customWidth="1"/>
    <col min="3350" max="3350" width="12.28515625" style="108" customWidth="1"/>
    <col min="3351" max="3351" width="17.140625" style="108" customWidth="1"/>
    <col min="3352" max="3352" width="12.5703125" style="108" customWidth="1"/>
    <col min="3353" max="3353" width="17.7109375" style="108" customWidth="1"/>
    <col min="3354" max="3354" width="12.140625" style="108" customWidth="1"/>
    <col min="3355" max="3355" width="30.5703125" style="108" customWidth="1"/>
    <col min="3356" max="3359" width="8.140625" style="108" customWidth="1"/>
    <col min="3360" max="3360" width="9.42578125" style="108" customWidth="1"/>
    <col min="3361" max="3361" width="8.140625" style="108" customWidth="1"/>
    <col min="3362" max="3366" width="7.85546875" style="108" customWidth="1"/>
    <col min="3367" max="3367" width="11.28515625" style="108" customWidth="1"/>
    <col min="3368" max="3368" width="2.28515625" style="108" customWidth="1"/>
    <col min="3369" max="3369" width="19.42578125" style="108"/>
    <col min="3370" max="3395" width="11.28515625" style="108" customWidth="1"/>
    <col min="3396" max="3407" width="8.85546875" style="108" customWidth="1"/>
    <col min="3408" max="3585" width="19.42578125" style="108"/>
    <col min="3586" max="3588" width="11" style="108" customWidth="1"/>
    <col min="3589" max="3589" width="16.140625" style="108" customWidth="1"/>
    <col min="3590" max="3590" width="12.42578125" style="108" customWidth="1"/>
    <col min="3591" max="3591" width="14.28515625" style="108" customWidth="1"/>
    <col min="3592" max="3592" width="12" style="108" customWidth="1"/>
    <col min="3593" max="3593" width="16.7109375" style="108" customWidth="1"/>
    <col min="3594" max="3594" width="12" style="108" customWidth="1"/>
    <col min="3595" max="3595" width="16.28515625" style="108" customWidth="1"/>
    <col min="3596" max="3596" width="12.28515625" style="108" customWidth="1"/>
    <col min="3597" max="3597" width="17.42578125" style="108" customWidth="1"/>
    <col min="3598" max="3598" width="12" style="108" customWidth="1"/>
    <col min="3599" max="3599" width="16.5703125" style="108" customWidth="1"/>
    <col min="3600" max="3600" width="13.28515625" style="108" customWidth="1"/>
    <col min="3601" max="3601" width="16.5703125" style="108" customWidth="1"/>
    <col min="3602" max="3602" width="13.7109375" style="108" customWidth="1"/>
    <col min="3603" max="3603" width="15.7109375" style="108" customWidth="1"/>
    <col min="3604" max="3604" width="12.5703125" style="108" customWidth="1"/>
    <col min="3605" max="3605" width="19.140625" style="108" customWidth="1"/>
    <col min="3606" max="3606" width="12.28515625" style="108" customWidth="1"/>
    <col min="3607" max="3607" width="17.140625" style="108" customWidth="1"/>
    <col min="3608" max="3608" width="12.5703125" style="108" customWidth="1"/>
    <col min="3609" max="3609" width="17.7109375" style="108" customWidth="1"/>
    <col min="3610" max="3610" width="12.140625" style="108" customWidth="1"/>
    <col min="3611" max="3611" width="30.5703125" style="108" customWidth="1"/>
    <col min="3612" max="3615" width="8.140625" style="108" customWidth="1"/>
    <col min="3616" max="3616" width="9.42578125" style="108" customWidth="1"/>
    <col min="3617" max="3617" width="8.140625" style="108" customWidth="1"/>
    <col min="3618" max="3622" width="7.85546875" style="108" customWidth="1"/>
    <col min="3623" max="3623" width="11.28515625" style="108" customWidth="1"/>
    <col min="3624" max="3624" width="2.28515625" style="108" customWidth="1"/>
    <col min="3625" max="3625" width="19.42578125" style="108"/>
    <col min="3626" max="3651" width="11.28515625" style="108" customWidth="1"/>
    <col min="3652" max="3663" width="8.85546875" style="108" customWidth="1"/>
    <col min="3664" max="3841" width="19.42578125" style="108"/>
    <col min="3842" max="3844" width="11" style="108" customWidth="1"/>
    <col min="3845" max="3845" width="16.140625" style="108" customWidth="1"/>
    <col min="3846" max="3846" width="12.42578125" style="108" customWidth="1"/>
    <col min="3847" max="3847" width="14.28515625" style="108" customWidth="1"/>
    <col min="3848" max="3848" width="12" style="108" customWidth="1"/>
    <col min="3849" max="3849" width="16.7109375" style="108" customWidth="1"/>
    <col min="3850" max="3850" width="12" style="108" customWidth="1"/>
    <col min="3851" max="3851" width="16.28515625" style="108" customWidth="1"/>
    <col min="3852" max="3852" width="12.28515625" style="108" customWidth="1"/>
    <col min="3853" max="3853" width="17.42578125" style="108" customWidth="1"/>
    <col min="3854" max="3854" width="12" style="108" customWidth="1"/>
    <col min="3855" max="3855" width="16.5703125" style="108" customWidth="1"/>
    <col min="3856" max="3856" width="13.28515625" style="108" customWidth="1"/>
    <col min="3857" max="3857" width="16.5703125" style="108" customWidth="1"/>
    <col min="3858" max="3858" width="13.7109375" style="108" customWidth="1"/>
    <col min="3859" max="3859" width="15.7109375" style="108" customWidth="1"/>
    <col min="3860" max="3860" width="12.5703125" style="108" customWidth="1"/>
    <col min="3861" max="3861" width="19.140625" style="108" customWidth="1"/>
    <col min="3862" max="3862" width="12.28515625" style="108" customWidth="1"/>
    <col min="3863" max="3863" width="17.140625" style="108" customWidth="1"/>
    <col min="3864" max="3864" width="12.5703125" style="108" customWidth="1"/>
    <col min="3865" max="3865" width="17.7109375" style="108" customWidth="1"/>
    <col min="3866" max="3866" width="12.140625" style="108" customWidth="1"/>
    <col min="3867" max="3867" width="30.5703125" style="108" customWidth="1"/>
    <col min="3868" max="3871" width="8.140625" style="108" customWidth="1"/>
    <col min="3872" max="3872" width="9.42578125" style="108" customWidth="1"/>
    <col min="3873" max="3873" width="8.140625" style="108" customWidth="1"/>
    <col min="3874" max="3878" width="7.85546875" style="108" customWidth="1"/>
    <col min="3879" max="3879" width="11.28515625" style="108" customWidth="1"/>
    <col min="3880" max="3880" width="2.28515625" style="108" customWidth="1"/>
    <col min="3881" max="3881" width="19.42578125" style="108"/>
    <col min="3882" max="3907" width="11.28515625" style="108" customWidth="1"/>
    <col min="3908" max="3919" width="8.85546875" style="108" customWidth="1"/>
    <col min="3920" max="4097" width="19.42578125" style="108"/>
    <col min="4098" max="4100" width="11" style="108" customWidth="1"/>
    <col min="4101" max="4101" width="16.140625" style="108" customWidth="1"/>
    <col min="4102" max="4102" width="12.42578125" style="108" customWidth="1"/>
    <col min="4103" max="4103" width="14.28515625" style="108" customWidth="1"/>
    <col min="4104" max="4104" width="12" style="108" customWidth="1"/>
    <col min="4105" max="4105" width="16.7109375" style="108" customWidth="1"/>
    <col min="4106" max="4106" width="12" style="108" customWidth="1"/>
    <col min="4107" max="4107" width="16.28515625" style="108" customWidth="1"/>
    <col min="4108" max="4108" width="12.28515625" style="108" customWidth="1"/>
    <col min="4109" max="4109" width="17.42578125" style="108" customWidth="1"/>
    <col min="4110" max="4110" width="12" style="108" customWidth="1"/>
    <col min="4111" max="4111" width="16.5703125" style="108" customWidth="1"/>
    <col min="4112" max="4112" width="13.28515625" style="108" customWidth="1"/>
    <col min="4113" max="4113" width="16.5703125" style="108" customWidth="1"/>
    <col min="4114" max="4114" width="13.7109375" style="108" customWidth="1"/>
    <col min="4115" max="4115" width="15.7109375" style="108" customWidth="1"/>
    <col min="4116" max="4116" width="12.5703125" style="108" customWidth="1"/>
    <col min="4117" max="4117" width="19.140625" style="108" customWidth="1"/>
    <col min="4118" max="4118" width="12.28515625" style="108" customWidth="1"/>
    <col min="4119" max="4119" width="17.140625" style="108" customWidth="1"/>
    <col min="4120" max="4120" width="12.5703125" style="108" customWidth="1"/>
    <col min="4121" max="4121" width="17.7109375" style="108" customWidth="1"/>
    <col min="4122" max="4122" width="12.140625" style="108" customWidth="1"/>
    <col min="4123" max="4123" width="30.5703125" style="108" customWidth="1"/>
    <col min="4124" max="4127" width="8.140625" style="108" customWidth="1"/>
    <col min="4128" max="4128" width="9.42578125" style="108" customWidth="1"/>
    <col min="4129" max="4129" width="8.140625" style="108" customWidth="1"/>
    <col min="4130" max="4134" width="7.85546875" style="108" customWidth="1"/>
    <col min="4135" max="4135" width="11.28515625" style="108" customWidth="1"/>
    <col min="4136" max="4136" width="2.28515625" style="108" customWidth="1"/>
    <col min="4137" max="4137" width="19.42578125" style="108"/>
    <col min="4138" max="4163" width="11.28515625" style="108" customWidth="1"/>
    <col min="4164" max="4175" width="8.85546875" style="108" customWidth="1"/>
    <col min="4176" max="4353" width="19.42578125" style="108"/>
    <col min="4354" max="4356" width="11" style="108" customWidth="1"/>
    <col min="4357" max="4357" width="16.140625" style="108" customWidth="1"/>
    <col min="4358" max="4358" width="12.42578125" style="108" customWidth="1"/>
    <col min="4359" max="4359" width="14.28515625" style="108" customWidth="1"/>
    <col min="4360" max="4360" width="12" style="108" customWidth="1"/>
    <col min="4361" max="4361" width="16.7109375" style="108" customWidth="1"/>
    <col min="4362" max="4362" width="12" style="108" customWidth="1"/>
    <col min="4363" max="4363" width="16.28515625" style="108" customWidth="1"/>
    <col min="4364" max="4364" width="12.28515625" style="108" customWidth="1"/>
    <col min="4365" max="4365" width="17.42578125" style="108" customWidth="1"/>
    <col min="4366" max="4366" width="12" style="108" customWidth="1"/>
    <col min="4367" max="4367" width="16.5703125" style="108" customWidth="1"/>
    <col min="4368" max="4368" width="13.28515625" style="108" customWidth="1"/>
    <col min="4369" max="4369" width="16.5703125" style="108" customWidth="1"/>
    <col min="4370" max="4370" width="13.7109375" style="108" customWidth="1"/>
    <col min="4371" max="4371" width="15.7109375" style="108" customWidth="1"/>
    <col min="4372" max="4372" width="12.5703125" style="108" customWidth="1"/>
    <col min="4373" max="4373" width="19.140625" style="108" customWidth="1"/>
    <col min="4374" max="4374" width="12.28515625" style="108" customWidth="1"/>
    <col min="4375" max="4375" width="17.140625" style="108" customWidth="1"/>
    <col min="4376" max="4376" width="12.5703125" style="108" customWidth="1"/>
    <col min="4377" max="4377" width="17.7109375" style="108" customWidth="1"/>
    <col min="4378" max="4378" width="12.140625" style="108" customWidth="1"/>
    <col min="4379" max="4379" width="30.5703125" style="108" customWidth="1"/>
    <col min="4380" max="4383" width="8.140625" style="108" customWidth="1"/>
    <col min="4384" max="4384" width="9.42578125" style="108" customWidth="1"/>
    <col min="4385" max="4385" width="8.140625" style="108" customWidth="1"/>
    <col min="4386" max="4390" width="7.85546875" style="108" customWidth="1"/>
    <col min="4391" max="4391" width="11.28515625" style="108" customWidth="1"/>
    <col min="4392" max="4392" width="2.28515625" style="108" customWidth="1"/>
    <col min="4393" max="4393" width="19.42578125" style="108"/>
    <col min="4394" max="4419" width="11.28515625" style="108" customWidth="1"/>
    <col min="4420" max="4431" width="8.85546875" style="108" customWidth="1"/>
    <col min="4432" max="4609" width="19.42578125" style="108"/>
    <col min="4610" max="4612" width="11" style="108" customWidth="1"/>
    <col min="4613" max="4613" width="16.140625" style="108" customWidth="1"/>
    <col min="4614" max="4614" width="12.42578125" style="108" customWidth="1"/>
    <col min="4615" max="4615" width="14.28515625" style="108" customWidth="1"/>
    <col min="4616" max="4616" width="12" style="108" customWidth="1"/>
    <col min="4617" max="4617" width="16.7109375" style="108" customWidth="1"/>
    <col min="4618" max="4618" width="12" style="108" customWidth="1"/>
    <col min="4619" max="4619" width="16.28515625" style="108" customWidth="1"/>
    <col min="4620" max="4620" width="12.28515625" style="108" customWidth="1"/>
    <col min="4621" max="4621" width="17.42578125" style="108" customWidth="1"/>
    <col min="4622" max="4622" width="12" style="108" customWidth="1"/>
    <col min="4623" max="4623" width="16.5703125" style="108" customWidth="1"/>
    <col min="4624" max="4624" width="13.28515625" style="108" customWidth="1"/>
    <col min="4625" max="4625" width="16.5703125" style="108" customWidth="1"/>
    <col min="4626" max="4626" width="13.7109375" style="108" customWidth="1"/>
    <col min="4627" max="4627" width="15.7109375" style="108" customWidth="1"/>
    <col min="4628" max="4628" width="12.5703125" style="108" customWidth="1"/>
    <col min="4629" max="4629" width="19.140625" style="108" customWidth="1"/>
    <col min="4630" max="4630" width="12.28515625" style="108" customWidth="1"/>
    <col min="4631" max="4631" width="17.140625" style="108" customWidth="1"/>
    <col min="4632" max="4632" width="12.5703125" style="108" customWidth="1"/>
    <col min="4633" max="4633" width="17.7109375" style="108" customWidth="1"/>
    <col min="4634" max="4634" width="12.140625" style="108" customWidth="1"/>
    <col min="4635" max="4635" width="30.5703125" style="108" customWidth="1"/>
    <col min="4636" max="4639" width="8.140625" style="108" customWidth="1"/>
    <col min="4640" max="4640" width="9.42578125" style="108" customWidth="1"/>
    <col min="4641" max="4641" width="8.140625" style="108" customWidth="1"/>
    <col min="4642" max="4646" width="7.85546875" style="108" customWidth="1"/>
    <col min="4647" max="4647" width="11.28515625" style="108" customWidth="1"/>
    <col min="4648" max="4648" width="2.28515625" style="108" customWidth="1"/>
    <col min="4649" max="4649" width="19.42578125" style="108"/>
    <col min="4650" max="4675" width="11.28515625" style="108" customWidth="1"/>
    <col min="4676" max="4687" width="8.85546875" style="108" customWidth="1"/>
    <col min="4688" max="4865" width="19.42578125" style="108"/>
    <col min="4866" max="4868" width="11" style="108" customWidth="1"/>
    <col min="4869" max="4869" width="16.140625" style="108" customWidth="1"/>
    <col min="4870" max="4870" width="12.42578125" style="108" customWidth="1"/>
    <col min="4871" max="4871" width="14.28515625" style="108" customWidth="1"/>
    <col min="4872" max="4872" width="12" style="108" customWidth="1"/>
    <col min="4873" max="4873" width="16.7109375" style="108" customWidth="1"/>
    <col min="4874" max="4874" width="12" style="108" customWidth="1"/>
    <col min="4875" max="4875" width="16.28515625" style="108" customWidth="1"/>
    <col min="4876" max="4876" width="12.28515625" style="108" customWidth="1"/>
    <col min="4877" max="4877" width="17.42578125" style="108" customWidth="1"/>
    <col min="4878" max="4878" width="12" style="108" customWidth="1"/>
    <col min="4879" max="4879" width="16.5703125" style="108" customWidth="1"/>
    <col min="4880" max="4880" width="13.28515625" style="108" customWidth="1"/>
    <col min="4881" max="4881" width="16.5703125" style="108" customWidth="1"/>
    <col min="4882" max="4882" width="13.7109375" style="108" customWidth="1"/>
    <col min="4883" max="4883" width="15.7109375" style="108" customWidth="1"/>
    <col min="4884" max="4884" width="12.5703125" style="108" customWidth="1"/>
    <col min="4885" max="4885" width="19.140625" style="108" customWidth="1"/>
    <col min="4886" max="4886" width="12.28515625" style="108" customWidth="1"/>
    <col min="4887" max="4887" width="17.140625" style="108" customWidth="1"/>
    <col min="4888" max="4888" width="12.5703125" style="108" customWidth="1"/>
    <col min="4889" max="4889" width="17.7109375" style="108" customWidth="1"/>
    <col min="4890" max="4890" width="12.140625" style="108" customWidth="1"/>
    <col min="4891" max="4891" width="30.5703125" style="108" customWidth="1"/>
    <col min="4892" max="4895" width="8.140625" style="108" customWidth="1"/>
    <col min="4896" max="4896" width="9.42578125" style="108" customWidth="1"/>
    <col min="4897" max="4897" width="8.140625" style="108" customWidth="1"/>
    <col min="4898" max="4902" width="7.85546875" style="108" customWidth="1"/>
    <col min="4903" max="4903" width="11.28515625" style="108" customWidth="1"/>
    <col min="4904" max="4904" width="2.28515625" style="108" customWidth="1"/>
    <col min="4905" max="4905" width="19.42578125" style="108"/>
    <col min="4906" max="4931" width="11.28515625" style="108" customWidth="1"/>
    <col min="4932" max="4943" width="8.85546875" style="108" customWidth="1"/>
    <col min="4944" max="5121" width="19.42578125" style="108"/>
    <col min="5122" max="5124" width="11" style="108" customWidth="1"/>
    <col min="5125" max="5125" width="16.140625" style="108" customWidth="1"/>
    <col min="5126" max="5126" width="12.42578125" style="108" customWidth="1"/>
    <col min="5127" max="5127" width="14.28515625" style="108" customWidth="1"/>
    <col min="5128" max="5128" width="12" style="108" customWidth="1"/>
    <col min="5129" max="5129" width="16.7109375" style="108" customWidth="1"/>
    <col min="5130" max="5130" width="12" style="108" customWidth="1"/>
    <col min="5131" max="5131" width="16.28515625" style="108" customWidth="1"/>
    <col min="5132" max="5132" width="12.28515625" style="108" customWidth="1"/>
    <col min="5133" max="5133" width="17.42578125" style="108" customWidth="1"/>
    <col min="5134" max="5134" width="12" style="108" customWidth="1"/>
    <col min="5135" max="5135" width="16.5703125" style="108" customWidth="1"/>
    <col min="5136" max="5136" width="13.28515625" style="108" customWidth="1"/>
    <col min="5137" max="5137" width="16.5703125" style="108" customWidth="1"/>
    <col min="5138" max="5138" width="13.7109375" style="108" customWidth="1"/>
    <col min="5139" max="5139" width="15.7109375" style="108" customWidth="1"/>
    <col min="5140" max="5140" width="12.5703125" style="108" customWidth="1"/>
    <col min="5141" max="5141" width="19.140625" style="108" customWidth="1"/>
    <col min="5142" max="5142" width="12.28515625" style="108" customWidth="1"/>
    <col min="5143" max="5143" width="17.140625" style="108" customWidth="1"/>
    <col min="5144" max="5144" width="12.5703125" style="108" customWidth="1"/>
    <col min="5145" max="5145" width="17.7109375" style="108" customWidth="1"/>
    <col min="5146" max="5146" width="12.140625" style="108" customWidth="1"/>
    <col min="5147" max="5147" width="30.5703125" style="108" customWidth="1"/>
    <col min="5148" max="5151" width="8.140625" style="108" customWidth="1"/>
    <col min="5152" max="5152" width="9.42578125" style="108" customWidth="1"/>
    <col min="5153" max="5153" width="8.140625" style="108" customWidth="1"/>
    <col min="5154" max="5158" width="7.85546875" style="108" customWidth="1"/>
    <col min="5159" max="5159" width="11.28515625" style="108" customWidth="1"/>
    <col min="5160" max="5160" width="2.28515625" style="108" customWidth="1"/>
    <col min="5161" max="5161" width="19.42578125" style="108"/>
    <col min="5162" max="5187" width="11.28515625" style="108" customWidth="1"/>
    <col min="5188" max="5199" width="8.85546875" style="108" customWidth="1"/>
    <col min="5200" max="5377" width="19.42578125" style="108"/>
    <col min="5378" max="5380" width="11" style="108" customWidth="1"/>
    <col min="5381" max="5381" width="16.140625" style="108" customWidth="1"/>
    <col min="5382" max="5382" width="12.42578125" style="108" customWidth="1"/>
    <col min="5383" max="5383" width="14.28515625" style="108" customWidth="1"/>
    <col min="5384" max="5384" width="12" style="108" customWidth="1"/>
    <col min="5385" max="5385" width="16.7109375" style="108" customWidth="1"/>
    <col min="5386" max="5386" width="12" style="108" customWidth="1"/>
    <col min="5387" max="5387" width="16.28515625" style="108" customWidth="1"/>
    <col min="5388" max="5388" width="12.28515625" style="108" customWidth="1"/>
    <col min="5389" max="5389" width="17.42578125" style="108" customWidth="1"/>
    <col min="5390" max="5390" width="12" style="108" customWidth="1"/>
    <col min="5391" max="5391" width="16.5703125" style="108" customWidth="1"/>
    <col min="5392" max="5392" width="13.28515625" style="108" customWidth="1"/>
    <col min="5393" max="5393" width="16.5703125" style="108" customWidth="1"/>
    <col min="5394" max="5394" width="13.7109375" style="108" customWidth="1"/>
    <col min="5395" max="5395" width="15.7109375" style="108" customWidth="1"/>
    <col min="5396" max="5396" width="12.5703125" style="108" customWidth="1"/>
    <col min="5397" max="5397" width="19.140625" style="108" customWidth="1"/>
    <col min="5398" max="5398" width="12.28515625" style="108" customWidth="1"/>
    <col min="5399" max="5399" width="17.140625" style="108" customWidth="1"/>
    <col min="5400" max="5400" width="12.5703125" style="108" customWidth="1"/>
    <col min="5401" max="5401" width="17.7109375" style="108" customWidth="1"/>
    <col min="5402" max="5402" width="12.140625" style="108" customWidth="1"/>
    <col min="5403" max="5403" width="30.5703125" style="108" customWidth="1"/>
    <col min="5404" max="5407" width="8.140625" style="108" customWidth="1"/>
    <col min="5408" max="5408" width="9.42578125" style="108" customWidth="1"/>
    <col min="5409" max="5409" width="8.140625" style="108" customWidth="1"/>
    <col min="5410" max="5414" width="7.85546875" style="108" customWidth="1"/>
    <col min="5415" max="5415" width="11.28515625" style="108" customWidth="1"/>
    <col min="5416" max="5416" width="2.28515625" style="108" customWidth="1"/>
    <col min="5417" max="5417" width="19.42578125" style="108"/>
    <col min="5418" max="5443" width="11.28515625" style="108" customWidth="1"/>
    <col min="5444" max="5455" width="8.85546875" style="108" customWidth="1"/>
    <col min="5456" max="5633" width="19.42578125" style="108"/>
    <col min="5634" max="5636" width="11" style="108" customWidth="1"/>
    <col min="5637" max="5637" width="16.140625" style="108" customWidth="1"/>
    <col min="5638" max="5638" width="12.42578125" style="108" customWidth="1"/>
    <col min="5639" max="5639" width="14.28515625" style="108" customWidth="1"/>
    <col min="5640" max="5640" width="12" style="108" customWidth="1"/>
    <col min="5641" max="5641" width="16.7109375" style="108" customWidth="1"/>
    <col min="5642" max="5642" width="12" style="108" customWidth="1"/>
    <col min="5643" max="5643" width="16.28515625" style="108" customWidth="1"/>
    <col min="5644" max="5644" width="12.28515625" style="108" customWidth="1"/>
    <col min="5645" max="5645" width="17.42578125" style="108" customWidth="1"/>
    <col min="5646" max="5646" width="12" style="108" customWidth="1"/>
    <col min="5647" max="5647" width="16.5703125" style="108" customWidth="1"/>
    <col min="5648" max="5648" width="13.28515625" style="108" customWidth="1"/>
    <col min="5649" max="5649" width="16.5703125" style="108" customWidth="1"/>
    <col min="5650" max="5650" width="13.7109375" style="108" customWidth="1"/>
    <col min="5651" max="5651" width="15.7109375" style="108" customWidth="1"/>
    <col min="5652" max="5652" width="12.5703125" style="108" customWidth="1"/>
    <col min="5653" max="5653" width="19.140625" style="108" customWidth="1"/>
    <col min="5654" max="5654" width="12.28515625" style="108" customWidth="1"/>
    <col min="5655" max="5655" width="17.140625" style="108" customWidth="1"/>
    <col min="5656" max="5656" width="12.5703125" style="108" customWidth="1"/>
    <col min="5657" max="5657" width="17.7109375" style="108" customWidth="1"/>
    <col min="5658" max="5658" width="12.140625" style="108" customWidth="1"/>
    <col min="5659" max="5659" width="30.5703125" style="108" customWidth="1"/>
    <col min="5660" max="5663" width="8.140625" style="108" customWidth="1"/>
    <col min="5664" max="5664" width="9.42578125" style="108" customWidth="1"/>
    <col min="5665" max="5665" width="8.140625" style="108" customWidth="1"/>
    <col min="5666" max="5670" width="7.85546875" style="108" customWidth="1"/>
    <col min="5671" max="5671" width="11.28515625" style="108" customWidth="1"/>
    <col min="5672" max="5672" width="2.28515625" style="108" customWidth="1"/>
    <col min="5673" max="5673" width="19.42578125" style="108"/>
    <col min="5674" max="5699" width="11.28515625" style="108" customWidth="1"/>
    <col min="5700" max="5711" width="8.85546875" style="108" customWidth="1"/>
    <col min="5712" max="5889" width="19.42578125" style="108"/>
    <col min="5890" max="5892" width="11" style="108" customWidth="1"/>
    <col min="5893" max="5893" width="16.140625" style="108" customWidth="1"/>
    <col min="5894" max="5894" width="12.42578125" style="108" customWidth="1"/>
    <col min="5895" max="5895" width="14.28515625" style="108" customWidth="1"/>
    <col min="5896" max="5896" width="12" style="108" customWidth="1"/>
    <col min="5897" max="5897" width="16.7109375" style="108" customWidth="1"/>
    <col min="5898" max="5898" width="12" style="108" customWidth="1"/>
    <col min="5899" max="5899" width="16.28515625" style="108" customWidth="1"/>
    <col min="5900" max="5900" width="12.28515625" style="108" customWidth="1"/>
    <col min="5901" max="5901" width="17.42578125" style="108" customWidth="1"/>
    <col min="5902" max="5902" width="12" style="108" customWidth="1"/>
    <col min="5903" max="5903" width="16.5703125" style="108" customWidth="1"/>
    <col min="5904" max="5904" width="13.28515625" style="108" customWidth="1"/>
    <col min="5905" max="5905" width="16.5703125" style="108" customWidth="1"/>
    <col min="5906" max="5906" width="13.7109375" style="108" customWidth="1"/>
    <col min="5907" max="5907" width="15.7109375" style="108" customWidth="1"/>
    <col min="5908" max="5908" width="12.5703125" style="108" customWidth="1"/>
    <col min="5909" max="5909" width="19.140625" style="108" customWidth="1"/>
    <col min="5910" max="5910" width="12.28515625" style="108" customWidth="1"/>
    <col min="5911" max="5911" width="17.140625" style="108" customWidth="1"/>
    <col min="5912" max="5912" width="12.5703125" style="108" customWidth="1"/>
    <col min="5913" max="5913" width="17.7109375" style="108" customWidth="1"/>
    <col min="5914" max="5914" width="12.140625" style="108" customWidth="1"/>
    <col min="5915" max="5915" width="30.5703125" style="108" customWidth="1"/>
    <col min="5916" max="5919" width="8.140625" style="108" customWidth="1"/>
    <col min="5920" max="5920" width="9.42578125" style="108" customWidth="1"/>
    <col min="5921" max="5921" width="8.140625" style="108" customWidth="1"/>
    <col min="5922" max="5926" width="7.85546875" style="108" customWidth="1"/>
    <col min="5927" max="5927" width="11.28515625" style="108" customWidth="1"/>
    <col min="5928" max="5928" width="2.28515625" style="108" customWidth="1"/>
    <col min="5929" max="5929" width="19.42578125" style="108"/>
    <col min="5930" max="5955" width="11.28515625" style="108" customWidth="1"/>
    <col min="5956" max="5967" width="8.85546875" style="108" customWidth="1"/>
    <col min="5968" max="6145" width="19.42578125" style="108"/>
    <col min="6146" max="6148" width="11" style="108" customWidth="1"/>
    <col min="6149" max="6149" width="16.140625" style="108" customWidth="1"/>
    <col min="6150" max="6150" width="12.42578125" style="108" customWidth="1"/>
    <col min="6151" max="6151" width="14.28515625" style="108" customWidth="1"/>
    <col min="6152" max="6152" width="12" style="108" customWidth="1"/>
    <col min="6153" max="6153" width="16.7109375" style="108" customWidth="1"/>
    <col min="6154" max="6154" width="12" style="108" customWidth="1"/>
    <col min="6155" max="6155" width="16.28515625" style="108" customWidth="1"/>
    <col min="6156" max="6156" width="12.28515625" style="108" customWidth="1"/>
    <col min="6157" max="6157" width="17.42578125" style="108" customWidth="1"/>
    <col min="6158" max="6158" width="12" style="108" customWidth="1"/>
    <col min="6159" max="6159" width="16.5703125" style="108" customWidth="1"/>
    <col min="6160" max="6160" width="13.28515625" style="108" customWidth="1"/>
    <col min="6161" max="6161" width="16.5703125" style="108" customWidth="1"/>
    <col min="6162" max="6162" width="13.7109375" style="108" customWidth="1"/>
    <col min="6163" max="6163" width="15.7109375" style="108" customWidth="1"/>
    <col min="6164" max="6164" width="12.5703125" style="108" customWidth="1"/>
    <col min="6165" max="6165" width="19.140625" style="108" customWidth="1"/>
    <col min="6166" max="6166" width="12.28515625" style="108" customWidth="1"/>
    <col min="6167" max="6167" width="17.140625" style="108" customWidth="1"/>
    <col min="6168" max="6168" width="12.5703125" style="108" customWidth="1"/>
    <col min="6169" max="6169" width="17.7109375" style="108" customWidth="1"/>
    <col min="6170" max="6170" width="12.140625" style="108" customWidth="1"/>
    <col min="6171" max="6171" width="30.5703125" style="108" customWidth="1"/>
    <col min="6172" max="6175" width="8.140625" style="108" customWidth="1"/>
    <col min="6176" max="6176" width="9.42578125" style="108" customWidth="1"/>
    <col min="6177" max="6177" width="8.140625" style="108" customWidth="1"/>
    <col min="6178" max="6182" width="7.85546875" style="108" customWidth="1"/>
    <col min="6183" max="6183" width="11.28515625" style="108" customWidth="1"/>
    <col min="6184" max="6184" width="2.28515625" style="108" customWidth="1"/>
    <col min="6185" max="6185" width="19.42578125" style="108"/>
    <col min="6186" max="6211" width="11.28515625" style="108" customWidth="1"/>
    <col min="6212" max="6223" width="8.85546875" style="108" customWidth="1"/>
    <col min="6224" max="6401" width="19.42578125" style="108"/>
    <col min="6402" max="6404" width="11" style="108" customWidth="1"/>
    <col min="6405" max="6405" width="16.140625" style="108" customWidth="1"/>
    <col min="6406" max="6406" width="12.42578125" style="108" customWidth="1"/>
    <col min="6407" max="6407" width="14.28515625" style="108" customWidth="1"/>
    <col min="6408" max="6408" width="12" style="108" customWidth="1"/>
    <col min="6409" max="6409" width="16.7109375" style="108" customWidth="1"/>
    <col min="6410" max="6410" width="12" style="108" customWidth="1"/>
    <col min="6411" max="6411" width="16.28515625" style="108" customWidth="1"/>
    <col min="6412" max="6412" width="12.28515625" style="108" customWidth="1"/>
    <col min="6413" max="6413" width="17.42578125" style="108" customWidth="1"/>
    <col min="6414" max="6414" width="12" style="108" customWidth="1"/>
    <col min="6415" max="6415" width="16.5703125" style="108" customWidth="1"/>
    <col min="6416" max="6416" width="13.28515625" style="108" customWidth="1"/>
    <col min="6417" max="6417" width="16.5703125" style="108" customWidth="1"/>
    <col min="6418" max="6418" width="13.7109375" style="108" customWidth="1"/>
    <col min="6419" max="6419" width="15.7109375" style="108" customWidth="1"/>
    <col min="6420" max="6420" width="12.5703125" style="108" customWidth="1"/>
    <col min="6421" max="6421" width="19.140625" style="108" customWidth="1"/>
    <col min="6422" max="6422" width="12.28515625" style="108" customWidth="1"/>
    <col min="6423" max="6423" width="17.140625" style="108" customWidth="1"/>
    <col min="6424" max="6424" width="12.5703125" style="108" customWidth="1"/>
    <col min="6425" max="6425" width="17.7109375" style="108" customWidth="1"/>
    <col min="6426" max="6426" width="12.140625" style="108" customWidth="1"/>
    <col min="6427" max="6427" width="30.5703125" style="108" customWidth="1"/>
    <col min="6428" max="6431" width="8.140625" style="108" customWidth="1"/>
    <col min="6432" max="6432" width="9.42578125" style="108" customWidth="1"/>
    <col min="6433" max="6433" width="8.140625" style="108" customWidth="1"/>
    <col min="6434" max="6438" width="7.85546875" style="108" customWidth="1"/>
    <col min="6439" max="6439" width="11.28515625" style="108" customWidth="1"/>
    <col min="6440" max="6440" width="2.28515625" style="108" customWidth="1"/>
    <col min="6441" max="6441" width="19.42578125" style="108"/>
    <col min="6442" max="6467" width="11.28515625" style="108" customWidth="1"/>
    <col min="6468" max="6479" width="8.85546875" style="108" customWidth="1"/>
    <col min="6480" max="6657" width="19.42578125" style="108"/>
    <col min="6658" max="6660" width="11" style="108" customWidth="1"/>
    <col min="6661" max="6661" width="16.140625" style="108" customWidth="1"/>
    <col min="6662" max="6662" width="12.42578125" style="108" customWidth="1"/>
    <col min="6663" max="6663" width="14.28515625" style="108" customWidth="1"/>
    <col min="6664" max="6664" width="12" style="108" customWidth="1"/>
    <col min="6665" max="6665" width="16.7109375" style="108" customWidth="1"/>
    <col min="6666" max="6666" width="12" style="108" customWidth="1"/>
    <col min="6667" max="6667" width="16.28515625" style="108" customWidth="1"/>
    <col min="6668" max="6668" width="12.28515625" style="108" customWidth="1"/>
    <col min="6669" max="6669" width="17.42578125" style="108" customWidth="1"/>
    <col min="6670" max="6670" width="12" style="108" customWidth="1"/>
    <col min="6671" max="6671" width="16.5703125" style="108" customWidth="1"/>
    <col min="6672" max="6672" width="13.28515625" style="108" customWidth="1"/>
    <col min="6673" max="6673" width="16.5703125" style="108" customWidth="1"/>
    <col min="6674" max="6674" width="13.7109375" style="108" customWidth="1"/>
    <col min="6675" max="6675" width="15.7109375" style="108" customWidth="1"/>
    <col min="6676" max="6676" width="12.5703125" style="108" customWidth="1"/>
    <col min="6677" max="6677" width="19.140625" style="108" customWidth="1"/>
    <col min="6678" max="6678" width="12.28515625" style="108" customWidth="1"/>
    <col min="6679" max="6679" width="17.140625" style="108" customWidth="1"/>
    <col min="6680" max="6680" width="12.5703125" style="108" customWidth="1"/>
    <col min="6681" max="6681" width="17.7109375" style="108" customWidth="1"/>
    <col min="6682" max="6682" width="12.140625" style="108" customWidth="1"/>
    <col min="6683" max="6683" width="30.5703125" style="108" customWidth="1"/>
    <col min="6684" max="6687" width="8.140625" style="108" customWidth="1"/>
    <col min="6688" max="6688" width="9.42578125" style="108" customWidth="1"/>
    <col min="6689" max="6689" width="8.140625" style="108" customWidth="1"/>
    <col min="6690" max="6694" width="7.85546875" style="108" customWidth="1"/>
    <col min="6695" max="6695" width="11.28515625" style="108" customWidth="1"/>
    <col min="6696" max="6696" width="2.28515625" style="108" customWidth="1"/>
    <col min="6697" max="6697" width="19.42578125" style="108"/>
    <col min="6698" max="6723" width="11.28515625" style="108" customWidth="1"/>
    <col min="6724" max="6735" width="8.85546875" style="108" customWidth="1"/>
    <col min="6736" max="6913" width="19.42578125" style="108"/>
    <col min="6914" max="6916" width="11" style="108" customWidth="1"/>
    <col min="6917" max="6917" width="16.140625" style="108" customWidth="1"/>
    <col min="6918" max="6918" width="12.42578125" style="108" customWidth="1"/>
    <col min="6919" max="6919" width="14.28515625" style="108" customWidth="1"/>
    <col min="6920" max="6920" width="12" style="108" customWidth="1"/>
    <col min="6921" max="6921" width="16.7109375" style="108" customWidth="1"/>
    <col min="6922" max="6922" width="12" style="108" customWidth="1"/>
    <col min="6923" max="6923" width="16.28515625" style="108" customWidth="1"/>
    <col min="6924" max="6924" width="12.28515625" style="108" customWidth="1"/>
    <col min="6925" max="6925" width="17.42578125" style="108" customWidth="1"/>
    <col min="6926" max="6926" width="12" style="108" customWidth="1"/>
    <col min="6927" max="6927" width="16.5703125" style="108" customWidth="1"/>
    <col min="6928" max="6928" width="13.28515625" style="108" customWidth="1"/>
    <col min="6929" max="6929" width="16.5703125" style="108" customWidth="1"/>
    <col min="6930" max="6930" width="13.7109375" style="108" customWidth="1"/>
    <col min="6931" max="6931" width="15.7109375" style="108" customWidth="1"/>
    <col min="6932" max="6932" width="12.5703125" style="108" customWidth="1"/>
    <col min="6933" max="6933" width="19.140625" style="108" customWidth="1"/>
    <col min="6934" max="6934" width="12.28515625" style="108" customWidth="1"/>
    <col min="6935" max="6935" width="17.140625" style="108" customWidth="1"/>
    <col min="6936" max="6936" width="12.5703125" style="108" customWidth="1"/>
    <col min="6937" max="6937" width="17.7109375" style="108" customWidth="1"/>
    <col min="6938" max="6938" width="12.140625" style="108" customWidth="1"/>
    <col min="6939" max="6939" width="30.5703125" style="108" customWidth="1"/>
    <col min="6940" max="6943" width="8.140625" style="108" customWidth="1"/>
    <col min="6944" max="6944" width="9.42578125" style="108" customWidth="1"/>
    <col min="6945" max="6945" width="8.140625" style="108" customWidth="1"/>
    <col min="6946" max="6950" width="7.85546875" style="108" customWidth="1"/>
    <col min="6951" max="6951" width="11.28515625" style="108" customWidth="1"/>
    <col min="6952" max="6952" width="2.28515625" style="108" customWidth="1"/>
    <col min="6953" max="6953" width="19.42578125" style="108"/>
    <col min="6954" max="6979" width="11.28515625" style="108" customWidth="1"/>
    <col min="6980" max="6991" width="8.85546875" style="108" customWidth="1"/>
    <col min="6992" max="7169" width="19.42578125" style="108"/>
    <col min="7170" max="7172" width="11" style="108" customWidth="1"/>
    <col min="7173" max="7173" width="16.140625" style="108" customWidth="1"/>
    <col min="7174" max="7174" width="12.42578125" style="108" customWidth="1"/>
    <col min="7175" max="7175" width="14.28515625" style="108" customWidth="1"/>
    <col min="7176" max="7176" width="12" style="108" customWidth="1"/>
    <col min="7177" max="7177" width="16.7109375" style="108" customWidth="1"/>
    <col min="7178" max="7178" width="12" style="108" customWidth="1"/>
    <col min="7179" max="7179" width="16.28515625" style="108" customWidth="1"/>
    <col min="7180" max="7180" width="12.28515625" style="108" customWidth="1"/>
    <col min="7181" max="7181" width="17.42578125" style="108" customWidth="1"/>
    <col min="7182" max="7182" width="12" style="108" customWidth="1"/>
    <col min="7183" max="7183" width="16.5703125" style="108" customWidth="1"/>
    <col min="7184" max="7184" width="13.28515625" style="108" customWidth="1"/>
    <col min="7185" max="7185" width="16.5703125" style="108" customWidth="1"/>
    <col min="7186" max="7186" width="13.7109375" style="108" customWidth="1"/>
    <col min="7187" max="7187" width="15.7109375" style="108" customWidth="1"/>
    <col min="7188" max="7188" width="12.5703125" style="108" customWidth="1"/>
    <col min="7189" max="7189" width="19.140625" style="108" customWidth="1"/>
    <col min="7190" max="7190" width="12.28515625" style="108" customWidth="1"/>
    <col min="7191" max="7191" width="17.140625" style="108" customWidth="1"/>
    <col min="7192" max="7192" width="12.5703125" style="108" customWidth="1"/>
    <col min="7193" max="7193" width="17.7109375" style="108" customWidth="1"/>
    <col min="7194" max="7194" width="12.140625" style="108" customWidth="1"/>
    <col min="7195" max="7195" width="30.5703125" style="108" customWidth="1"/>
    <col min="7196" max="7199" width="8.140625" style="108" customWidth="1"/>
    <col min="7200" max="7200" width="9.42578125" style="108" customWidth="1"/>
    <col min="7201" max="7201" width="8.140625" style="108" customWidth="1"/>
    <col min="7202" max="7206" width="7.85546875" style="108" customWidth="1"/>
    <col min="7207" max="7207" width="11.28515625" style="108" customWidth="1"/>
    <col min="7208" max="7208" width="2.28515625" style="108" customWidth="1"/>
    <col min="7209" max="7209" width="19.42578125" style="108"/>
    <col min="7210" max="7235" width="11.28515625" style="108" customWidth="1"/>
    <col min="7236" max="7247" width="8.85546875" style="108" customWidth="1"/>
    <col min="7248" max="7425" width="19.42578125" style="108"/>
    <col min="7426" max="7428" width="11" style="108" customWidth="1"/>
    <col min="7429" max="7429" width="16.140625" style="108" customWidth="1"/>
    <col min="7430" max="7430" width="12.42578125" style="108" customWidth="1"/>
    <col min="7431" max="7431" width="14.28515625" style="108" customWidth="1"/>
    <col min="7432" max="7432" width="12" style="108" customWidth="1"/>
    <col min="7433" max="7433" width="16.7109375" style="108" customWidth="1"/>
    <col min="7434" max="7434" width="12" style="108" customWidth="1"/>
    <col min="7435" max="7435" width="16.28515625" style="108" customWidth="1"/>
    <col min="7436" max="7436" width="12.28515625" style="108" customWidth="1"/>
    <col min="7437" max="7437" width="17.42578125" style="108" customWidth="1"/>
    <col min="7438" max="7438" width="12" style="108" customWidth="1"/>
    <col min="7439" max="7439" width="16.5703125" style="108" customWidth="1"/>
    <col min="7440" max="7440" width="13.28515625" style="108" customWidth="1"/>
    <col min="7441" max="7441" width="16.5703125" style="108" customWidth="1"/>
    <col min="7442" max="7442" width="13.7109375" style="108" customWidth="1"/>
    <col min="7443" max="7443" width="15.7109375" style="108" customWidth="1"/>
    <col min="7444" max="7444" width="12.5703125" style="108" customWidth="1"/>
    <col min="7445" max="7445" width="19.140625" style="108" customWidth="1"/>
    <col min="7446" max="7446" width="12.28515625" style="108" customWidth="1"/>
    <col min="7447" max="7447" width="17.140625" style="108" customWidth="1"/>
    <col min="7448" max="7448" width="12.5703125" style="108" customWidth="1"/>
    <col min="7449" max="7449" width="17.7109375" style="108" customWidth="1"/>
    <col min="7450" max="7450" width="12.140625" style="108" customWidth="1"/>
    <col min="7451" max="7451" width="30.5703125" style="108" customWidth="1"/>
    <col min="7452" max="7455" width="8.140625" style="108" customWidth="1"/>
    <col min="7456" max="7456" width="9.42578125" style="108" customWidth="1"/>
    <col min="7457" max="7457" width="8.140625" style="108" customWidth="1"/>
    <col min="7458" max="7462" width="7.85546875" style="108" customWidth="1"/>
    <col min="7463" max="7463" width="11.28515625" style="108" customWidth="1"/>
    <col min="7464" max="7464" width="2.28515625" style="108" customWidth="1"/>
    <col min="7465" max="7465" width="19.42578125" style="108"/>
    <col min="7466" max="7491" width="11.28515625" style="108" customWidth="1"/>
    <col min="7492" max="7503" width="8.85546875" style="108" customWidth="1"/>
    <col min="7504" max="7681" width="19.42578125" style="108"/>
    <col min="7682" max="7684" width="11" style="108" customWidth="1"/>
    <col min="7685" max="7685" width="16.140625" style="108" customWidth="1"/>
    <col min="7686" max="7686" width="12.42578125" style="108" customWidth="1"/>
    <col min="7687" max="7687" width="14.28515625" style="108" customWidth="1"/>
    <col min="7688" max="7688" width="12" style="108" customWidth="1"/>
    <col min="7689" max="7689" width="16.7109375" style="108" customWidth="1"/>
    <col min="7690" max="7690" width="12" style="108" customWidth="1"/>
    <col min="7691" max="7691" width="16.28515625" style="108" customWidth="1"/>
    <col min="7692" max="7692" width="12.28515625" style="108" customWidth="1"/>
    <col min="7693" max="7693" width="17.42578125" style="108" customWidth="1"/>
    <col min="7694" max="7694" width="12" style="108" customWidth="1"/>
    <col min="7695" max="7695" width="16.5703125" style="108" customWidth="1"/>
    <col min="7696" max="7696" width="13.28515625" style="108" customWidth="1"/>
    <col min="7697" max="7697" width="16.5703125" style="108" customWidth="1"/>
    <col min="7698" max="7698" width="13.7109375" style="108" customWidth="1"/>
    <col min="7699" max="7699" width="15.7109375" style="108" customWidth="1"/>
    <col min="7700" max="7700" width="12.5703125" style="108" customWidth="1"/>
    <col min="7701" max="7701" width="19.140625" style="108" customWidth="1"/>
    <col min="7702" max="7702" width="12.28515625" style="108" customWidth="1"/>
    <col min="7703" max="7703" width="17.140625" style="108" customWidth="1"/>
    <col min="7704" max="7704" width="12.5703125" style="108" customWidth="1"/>
    <col min="7705" max="7705" width="17.7109375" style="108" customWidth="1"/>
    <col min="7706" max="7706" width="12.140625" style="108" customWidth="1"/>
    <col min="7707" max="7707" width="30.5703125" style="108" customWidth="1"/>
    <col min="7708" max="7711" width="8.140625" style="108" customWidth="1"/>
    <col min="7712" max="7712" width="9.42578125" style="108" customWidth="1"/>
    <col min="7713" max="7713" width="8.140625" style="108" customWidth="1"/>
    <col min="7714" max="7718" width="7.85546875" style="108" customWidth="1"/>
    <col min="7719" max="7719" width="11.28515625" style="108" customWidth="1"/>
    <col min="7720" max="7720" width="2.28515625" style="108" customWidth="1"/>
    <col min="7721" max="7721" width="19.42578125" style="108"/>
    <col min="7722" max="7747" width="11.28515625" style="108" customWidth="1"/>
    <col min="7748" max="7759" width="8.85546875" style="108" customWidth="1"/>
    <col min="7760" max="7937" width="19.42578125" style="108"/>
    <col min="7938" max="7940" width="11" style="108" customWidth="1"/>
    <col min="7941" max="7941" width="16.140625" style="108" customWidth="1"/>
    <col min="7942" max="7942" width="12.42578125" style="108" customWidth="1"/>
    <col min="7943" max="7943" width="14.28515625" style="108" customWidth="1"/>
    <col min="7944" max="7944" width="12" style="108" customWidth="1"/>
    <col min="7945" max="7945" width="16.7109375" style="108" customWidth="1"/>
    <col min="7946" max="7946" width="12" style="108" customWidth="1"/>
    <col min="7947" max="7947" width="16.28515625" style="108" customWidth="1"/>
    <col min="7948" max="7948" width="12.28515625" style="108" customWidth="1"/>
    <col min="7949" max="7949" width="17.42578125" style="108" customWidth="1"/>
    <col min="7950" max="7950" width="12" style="108" customWidth="1"/>
    <col min="7951" max="7951" width="16.5703125" style="108" customWidth="1"/>
    <col min="7952" max="7952" width="13.28515625" style="108" customWidth="1"/>
    <col min="7953" max="7953" width="16.5703125" style="108" customWidth="1"/>
    <col min="7954" max="7954" width="13.7109375" style="108" customWidth="1"/>
    <col min="7955" max="7955" width="15.7109375" style="108" customWidth="1"/>
    <col min="7956" max="7956" width="12.5703125" style="108" customWidth="1"/>
    <col min="7957" max="7957" width="19.140625" style="108" customWidth="1"/>
    <col min="7958" max="7958" width="12.28515625" style="108" customWidth="1"/>
    <col min="7959" max="7959" width="17.140625" style="108" customWidth="1"/>
    <col min="7960" max="7960" width="12.5703125" style="108" customWidth="1"/>
    <col min="7961" max="7961" width="17.7109375" style="108" customWidth="1"/>
    <col min="7962" max="7962" width="12.140625" style="108" customWidth="1"/>
    <col min="7963" max="7963" width="30.5703125" style="108" customWidth="1"/>
    <col min="7964" max="7967" width="8.140625" style="108" customWidth="1"/>
    <col min="7968" max="7968" width="9.42578125" style="108" customWidth="1"/>
    <col min="7969" max="7969" width="8.140625" style="108" customWidth="1"/>
    <col min="7970" max="7974" width="7.85546875" style="108" customWidth="1"/>
    <col min="7975" max="7975" width="11.28515625" style="108" customWidth="1"/>
    <col min="7976" max="7976" width="2.28515625" style="108" customWidth="1"/>
    <col min="7977" max="7977" width="19.42578125" style="108"/>
    <col min="7978" max="8003" width="11.28515625" style="108" customWidth="1"/>
    <col min="8004" max="8015" width="8.85546875" style="108" customWidth="1"/>
    <col min="8016" max="8193" width="19.42578125" style="108"/>
    <col min="8194" max="8196" width="11" style="108" customWidth="1"/>
    <col min="8197" max="8197" width="16.140625" style="108" customWidth="1"/>
    <col min="8198" max="8198" width="12.42578125" style="108" customWidth="1"/>
    <col min="8199" max="8199" width="14.28515625" style="108" customWidth="1"/>
    <col min="8200" max="8200" width="12" style="108" customWidth="1"/>
    <col min="8201" max="8201" width="16.7109375" style="108" customWidth="1"/>
    <col min="8202" max="8202" width="12" style="108" customWidth="1"/>
    <col min="8203" max="8203" width="16.28515625" style="108" customWidth="1"/>
    <col min="8204" max="8204" width="12.28515625" style="108" customWidth="1"/>
    <col min="8205" max="8205" width="17.42578125" style="108" customWidth="1"/>
    <col min="8206" max="8206" width="12" style="108" customWidth="1"/>
    <col min="8207" max="8207" width="16.5703125" style="108" customWidth="1"/>
    <col min="8208" max="8208" width="13.28515625" style="108" customWidth="1"/>
    <col min="8209" max="8209" width="16.5703125" style="108" customWidth="1"/>
    <col min="8210" max="8210" width="13.7109375" style="108" customWidth="1"/>
    <col min="8211" max="8211" width="15.7109375" style="108" customWidth="1"/>
    <col min="8212" max="8212" width="12.5703125" style="108" customWidth="1"/>
    <col min="8213" max="8213" width="19.140625" style="108" customWidth="1"/>
    <col min="8214" max="8214" width="12.28515625" style="108" customWidth="1"/>
    <col min="8215" max="8215" width="17.140625" style="108" customWidth="1"/>
    <col min="8216" max="8216" width="12.5703125" style="108" customWidth="1"/>
    <col min="8217" max="8217" width="17.7109375" style="108" customWidth="1"/>
    <col min="8218" max="8218" width="12.140625" style="108" customWidth="1"/>
    <col min="8219" max="8219" width="30.5703125" style="108" customWidth="1"/>
    <col min="8220" max="8223" width="8.140625" style="108" customWidth="1"/>
    <col min="8224" max="8224" width="9.42578125" style="108" customWidth="1"/>
    <col min="8225" max="8225" width="8.140625" style="108" customWidth="1"/>
    <col min="8226" max="8230" width="7.85546875" style="108" customWidth="1"/>
    <col min="8231" max="8231" width="11.28515625" style="108" customWidth="1"/>
    <col min="8232" max="8232" width="2.28515625" style="108" customWidth="1"/>
    <col min="8233" max="8233" width="19.42578125" style="108"/>
    <col min="8234" max="8259" width="11.28515625" style="108" customWidth="1"/>
    <col min="8260" max="8271" width="8.85546875" style="108" customWidth="1"/>
    <col min="8272" max="8449" width="19.42578125" style="108"/>
    <col min="8450" max="8452" width="11" style="108" customWidth="1"/>
    <col min="8453" max="8453" width="16.140625" style="108" customWidth="1"/>
    <col min="8454" max="8454" width="12.42578125" style="108" customWidth="1"/>
    <col min="8455" max="8455" width="14.28515625" style="108" customWidth="1"/>
    <col min="8456" max="8456" width="12" style="108" customWidth="1"/>
    <col min="8457" max="8457" width="16.7109375" style="108" customWidth="1"/>
    <col min="8458" max="8458" width="12" style="108" customWidth="1"/>
    <col min="8459" max="8459" width="16.28515625" style="108" customWidth="1"/>
    <col min="8460" max="8460" width="12.28515625" style="108" customWidth="1"/>
    <col min="8461" max="8461" width="17.42578125" style="108" customWidth="1"/>
    <col min="8462" max="8462" width="12" style="108" customWidth="1"/>
    <col min="8463" max="8463" width="16.5703125" style="108" customWidth="1"/>
    <col min="8464" max="8464" width="13.28515625" style="108" customWidth="1"/>
    <col min="8465" max="8465" width="16.5703125" style="108" customWidth="1"/>
    <col min="8466" max="8466" width="13.7109375" style="108" customWidth="1"/>
    <col min="8467" max="8467" width="15.7109375" style="108" customWidth="1"/>
    <col min="8468" max="8468" width="12.5703125" style="108" customWidth="1"/>
    <col min="8469" max="8469" width="19.140625" style="108" customWidth="1"/>
    <col min="8470" max="8470" width="12.28515625" style="108" customWidth="1"/>
    <col min="8471" max="8471" width="17.140625" style="108" customWidth="1"/>
    <col min="8472" max="8472" width="12.5703125" style="108" customWidth="1"/>
    <col min="8473" max="8473" width="17.7109375" style="108" customWidth="1"/>
    <col min="8474" max="8474" width="12.140625" style="108" customWidth="1"/>
    <col min="8475" max="8475" width="30.5703125" style="108" customWidth="1"/>
    <col min="8476" max="8479" width="8.140625" style="108" customWidth="1"/>
    <col min="8480" max="8480" width="9.42578125" style="108" customWidth="1"/>
    <col min="8481" max="8481" width="8.140625" style="108" customWidth="1"/>
    <col min="8482" max="8486" width="7.85546875" style="108" customWidth="1"/>
    <col min="8487" max="8487" width="11.28515625" style="108" customWidth="1"/>
    <col min="8488" max="8488" width="2.28515625" style="108" customWidth="1"/>
    <col min="8489" max="8489" width="19.42578125" style="108"/>
    <col min="8490" max="8515" width="11.28515625" style="108" customWidth="1"/>
    <col min="8516" max="8527" width="8.85546875" style="108" customWidth="1"/>
    <col min="8528" max="8705" width="19.42578125" style="108"/>
    <col min="8706" max="8708" width="11" style="108" customWidth="1"/>
    <col min="8709" max="8709" width="16.140625" style="108" customWidth="1"/>
    <col min="8710" max="8710" width="12.42578125" style="108" customWidth="1"/>
    <col min="8711" max="8711" width="14.28515625" style="108" customWidth="1"/>
    <col min="8712" max="8712" width="12" style="108" customWidth="1"/>
    <col min="8713" max="8713" width="16.7109375" style="108" customWidth="1"/>
    <col min="8714" max="8714" width="12" style="108" customWidth="1"/>
    <col min="8715" max="8715" width="16.28515625" style="108" customWidth="1"/>
    <col min="8716" max="8716" width="12.28515625" style="108" customWidth="1"/>
    <col min="8717" max="8717" width="17.42578125" style="108" customWidth="1"/>
    <col min="8718" max="8718" width="12" style="108" customWidth="1"/>
    <col min="8719" max="8719" width="16.5703125" style="108" customWidth="1"/>
    <col min="8720" max="8720" width="13.28515625" style="108" customWidth="1"/>
    <col min="8721" max="8721" width="16.5703125" style="108" customWidth="1"/>
    <col min="8722" max="8722" width="13.7109375" style="108" customWidth="1"/>
    <col min="8723" max="8723" width="15.7109375" style="108" customWidth="1"/>
    <col min="8724" max="8724" width="12.5703125" style="108" customWidth="1"/>
    <col min="8725" max="8725" width="19.140625" style="108" customWidth="1"/>
    <col min="8726" max="8726" width="12.28515625" style="108" customWidth="1"/>
    <col min="8727" max="8727" width="17.140625" style="108" customWidth="1"/>
    <col min="8728" max="8728" width="12.5703125" style="108" customWidth="1"/>
    <col min="8729" max="8729" width="17.7109375" style="108" customWidth="1"/>
    <col min="8730" max="8730" width="12.140625" style="108" customWidth="1"/>
    <col min="8731" max="8731" width="30.5703125" style="108" customWidth="1"/>
    <col min="8732" max="8735" width="8.140625" style="108" customWidth="1"/>
    <col min="8736" max="8736" width="9.42578125" style="108" customWidth="1"/>
    <col min="8737" max="8737" width="8.140625" style="108" customWidth="1"/>
    <col min="8738" max="8742" width="7.85546875" style="108" customWidth="1"/>
    <col min="8743" max="8743" width="11.28515625" style="108" customWidth="1"/>
    <col min="8744" max="8744" width="2.28515625" style="108" customWidth="1"/>
    <col min="8745" max="8745" width="19.42578125" style="108"/>
    <col min="8746" max="8771" width="11.28515625" style="108" customWidth="1"/>
    <col min="8772" max="8783" width="8.85546875" style="108" customWidth="1"/>
    <col min="8784" max="8961" width="19.42578125" style="108"/>
    <col min="8962" max="8964" width="11" style="108" customWidth="1"/>
    <col min="8965" max="8965" width="16.140625" style="108" customWidth="1"/>
    <col min="8966" max="8966" width="12.42578125" style="108" customWidth="1"/>
    <col min="8967" max="8967" width="14.28515625" style="108" customWidth="1"/>
    <col min="8968" max="8968" width="12" style="108" customWidth="1"/>
    <col min="8969" max="8969" width="16.7109375" style="108" customWidth="1"/>
    <col min="8970" max="8970" width="12" style="108" customWidth="1"/>
    <col min="8971" max="8971" width="16.28515625" style="108" customWidth="1"/>
    <col min="8972" max="8972" width="12.28515625" style="108" customWidth="1"/>
    <col min="8973" max="8973" width="17.42578125" style="108" customWidth="1"/>
    <col min="8974" max="8974" width="12" style="108" customWidth="1"/>
    <col min="8975" max="8975" width="16.5703125" style="108" customWidth="1"/>
    <col min="8976" max="8976" width="13.28515625" style="108" customWidth="1"/>
    <col min="8977" max="8977" width="16.5703125" style="108" customWidth="1"/>
    <col min="8978" max="8978" width="13.7109375" style="108" customWidth="1"/>
    <col min="8979" max="8979" width="15.7109375" style="108" customWidth="1"/>
    <col min="8980" max="8980" width="12.5703125" style="108" customWidth="1"/>
    <col min="8981" max="8981" width="19.140625" style="108" customWidth="1"/>
    <col min="8982" max="8982" width="12.28515625" style="108" customWidth="1"/>
    <col min="8983" max="8983" width="17.140625" style="108" customWidth="1"/>
    <col min="8984" max="8984" width="12.5703125" style="108" customWidth="1"/>
    <col min="8985" max="8985" width="17.7109375" style="108" customWidth="1"/>
    <col min="8986" max="8986" width="12.140625" style="108" customWidth="1"/>
    <col min="8987" max="8987" width="30.5703125" style="108" customWidth="1"/>
    <col min="8988" max="8991" width="8.140625" style="108" customWidth="1"/>
    <col min="8992" max="8992" width="9.42578125" style="108" customWidth="1"/>
    <col min="8993" max="8993" width="8.140625" style="108" customWidth="1"/>
    <col min="8994" max="8998" width="7.85546875" style="108" customWidth="1"/>
    <col min="8999" max="8999" width="11.28515625" style="108" customWidth="1"/>
    <col min="9000" max="9000" width="2.28515625" style="108" customWidth="1"/>
    <col min="9001" max="9001" width="19.42578125" style="108"/>
    <col min="9002" max="9027" width="11.28515625" style="108" customWidth="1"/>
    <col min="9028" max="9039" width="8.85546875" style="108" customWidth="1"/>
    <col min="9040" max="9217" width="19.42578125" style="108"/>
    <col min="9218" max="9220" width="11" style="108" customWidth="1"/>
    <col min="9221" max="9221" width="16.140625" style="108" customWidth="1"/>
    <col min="9222" max="9222" width="12.42578125" style="108" customWidth="1"/>
    <col min="9223" max="9223" width="14.28515625" style="108" customWidth="1"/>
    <col min="9224" max="9224" width="12" style="108" customWidth="1"/>
    <col min="9225" max="9225" width="16.7109375" style="108" customWidth="1"/>
    <col min="9226" max="9226" width="12" style="108" customWidth="1"/>
    <col min="9227" max="9227" width="16.28515625" style="108" customWidth="1"/>
    <col min="9228" max="9228" width="12.28515625" style="108" customWidth="1"/>
    <col min="9229" max="9229" width="17.42578125" style="108" customWidth="1"/>
    <col min="9230" max="9230" width="12" style="108" customWidth="1"/>
    <col min="9231" max="9231" width="16.5703125" style="108" customWidth="1"/>
    <col min="9232" max="9232" width="13.28515625" style="108" customWidth="1"/>
    <col min="9233" max="9233" width="16.5703125" style="108" customWidth="1"/>
    <col min="9234" max="9234" width="13.7109375" style="108" customWidth="1"/>
    <col min="9235" max="9235" width="15.7109375" style="108" customWidth="1"/>
    <col min="9236" max="9236" width="12.5703125" style="108" customWidth="1"/>
    <col min="9237" max="9237" width="19.140625" style="108" customWidth="1"/>
    <col min="9238" max="9238" width="12.28515625" style="108" customWidth="1"/>
    <col min="9239" max="9239" width="17.140625" style="108" customWidth="1"/>
    <col min="9240" max="9240" width="12.5703125" style="108" customWidth="1"/>
    <col min="9241" max="9241" width="17.7109375" style="108" customWidth="1"/>
    <col min="9242" max="9242" width="12.140625" style="108" customWidth="1"/>
    <col min="9243" max="9243" width="30.5703125" style="108" customWidth="1"/>
    <col min="9244" max="9247" width="8.140625" style="108" customWidth="1"/>
    <col min="9248" max="9248" width="9.42578125" style="108" customWidth="1"/>
    <col min="9249" max="9249" width="8.140625" style="108" customWidth="1"/>
    <col min="9250" max="9254" width="7.85546875" style="108" customWidth="1"/>
    <col min="9255" max="9255" width="11.28515625" style="108" customWidth="1"/>
    <col min="9256" max="9256" width="2.28515625" style="108" customWidth="1"/>
    <col min="9257" max="9257" width="19.42578125" style="108"/>
    <col min="9258" max="9283" width="11.28515625" style="108" customWidth="1"/>
    <col min="9284" max="9295" width="8.85546875" style="108" customWidth="1"/>
    <col min="9296" max="9473" width="19.42578125" style="108"/>
    <col min="9474" max="9476" width="11" style="108" customWidth="1"/>
    <col min="9477" max="9477" width="16.140625" style="108" customWidth="1"/>
    <col min="9478" max="9478" width="12.42578125" style="108" customWidth="1"/>
    <col min="9479" max="9479" width="14.28515625" style="108" customWidth="1"/>
    <col min="9480" max="9480" width="12" style="108" customWidth="1"/>
    <col min="9481" max="9481" width="16.7109375" style="108" customWidth="1"/>
    <col min="9482" max="9482" width="12" style="108" customWidth="1"/>
    <col min="9483" max="9483" width="16.28515625" style="108" customWidth="1"/>
    <col min="9484" max="9484" width="12.28515625" style="108" customWidth="1"/>
    <col min="9485" max="9485" width="17.42578125" style="108" customWidth="1"/>
    <col min="9486" max="9486" width="12" style="108" customWidth="1"/>
    <col min="9487" max="9487" width="16.5703125" style="108" customWidth="1"/>
    <col min="9488" max="9488" width="13.28515625" style="108" customWidth="1"/>
    <col min="9489" max="9489" width="16.5703125" style="108" customWidth="1"/>
    <col min="9490" max="9490" width="13.7109375" style="108" customWidth="1"/>
    <col min="9491" max="9491" width="15.7109375" style="108" customWidth="1"/>
    <col min="9492" max="9492" width="12.5703125" style="108" customWidth="1"/>
    <col min="9493" max="9493" width="19.140625" style="108" customWidth="1"/>
    <col min="9494" max="9494" width="12.28515625" style="108" customWidth="1"/>
    <col min="9495" max="9495" width="17.140625" style="108" customWidth="1"/>
    <col min="9496" max="9496" width="12.5703125" style="108" customWidth="1"/>
    <col min="9497" max="9497" width="17.7109375" style="108" customWidth="1"/>
    <col min="9498" max="9498" width="12.140625" style="108" customWidth="1"/>
    <col min="9499" max="9499" width="30.5703125" style="108" customWidth="1"/>
    <col min="9500" max="9503" width="8.140625" style="108" customWidth="1"/>
    <col min="9504" max="9504" width="9.42578125" style="108" customWidth="1"/>
    <col min="9505" max="9505" width="8.140625" style="108" customWidth="1"/>
    <col min="9506" max="9510" width="7.85546875" style="108" customWidth="1"/>
    <col min="9511" max="9511" width="11.28515625" style="108" customWidth="1"/>
    <col min="9512" max="9512" width="2.28515625" style="108" customWidth="1"/>
    <col min="9513" max="9513" width="19.42578125" style="108"/>
    <col min="9514" max="9539" width="11.28515625" style="108" customWidth="1"/>
    <col min="9540" max="9551" width="8.85546875" style="108" customWidth="1"/>
    <col min="9552" max="9729" width="19.42578125" style="108"/>
    <col min="9730" max="9732" width="11" style="108" customWidth="1"/>
    <col min="9733" max="9733" width="16.140625" style="108" customWidth="1"/>
    <col min="9734" max="9734" width="12.42578125" style="108" customWidth="1"/>
    <col min="9735" max="9735" width="14.28515625" style="108" customWidth="1"/>
    <col min="9736" max="9736" width="12" style="108" customWidth="1"/>
    <col min="9737" max="9737" width="16.7109375" style="108" customWidth="1"/>
    <col min="9738" max="9738" width="12" style="108" customWidth="1"/>
    <col min="9739" max="9739" width="16.28515625" style="108" customWidth="1"/>
    <col min="9740" max="9740" width="12.28515625" style="108" customWidth="1"/>
    <col min="9741" max="9741" width="17.42578125" style="108" customWidth="1"/>
    <col min="9742" max="9742" width="12" style="108" customWidth="1"/>
    <col min="9743" max="9743" width="16.5703125" style="108" customWidth="1"/>
    <col min="9744" max="9744" width="13.28515625" style="108" customWidth="1"/>
    <col min="9745" max="9745" width="16.5703125" style="108" customWidth="1"/>
    <col min="9746" max="9746" width="13.7109375" style="108" customWidth="1"/>
    <col min="9747" max="9747" width="15.7109375" style="108" customWidth="1"/>
    <col min="9748" max="9748" width="12.5703125" style="108" customWidth="1"/>
    <col min="9749" max="9749" width="19.140625" style="108" customWidth="1"/>
    <col min="9750" max="9750" width="12.28515625" style="108" customWidth="1"/>
    <col min="9751" max="9751" width="17.140625" style="108" customWidth="1"/>
    <col min="9752" max="9752" width="12.5703125" style="108" customWidth="1"/>
    <col min="9753" max="9753" width="17.7109375" style="108" customWidth="1"/>
    <col min="9754" max="9754" width="12.140625" style="108" customWidth="1"/>
    <col min="9755" max="9755" width="30.5703125" style="108" customWidth="1"/>
    <col min="9756" max="9759" width="8.140625" style="108" customWidth="1"/>
    <col min="9760" max="9760" width="9.42578125" style="108" customWidth="1"/>
    <col min="9761" max="9761" width="8.140625" style="108" customWidth="1"/>
    <col min="9762" max="9766" width="7.85546875" style="108" customWidth="1"/>
    <col min="9767" max="9767" width="11.28515625" style="108" customWidth="1"/>
    <col min="9768" max="9768" width="2.28515625" style="108" customWidth="1"/>
    <col min="9769" max="9769" width="19.42578125" style="108"/>
    <col min="9770" max="9795" width="11.28515625" style="108" customWidth="1"/>
    <col min="9796" max="9807" width="8.85546875" style="108" customWidth="1"/>
    <col min="9808" max="9985" width="19.42578125" style="108"/>
    <col min="9986" max="9988" width="11" style="108" customWidth="1"/>
    <col min="9989" max="9989" width="16.140625" style="108" customWidth="1"/>
    <col min="9990" max="9990" width="12.42578125" style="108" customWidth="1"/>
    <col min="9991" max="9991" width="14.28515625" style="108" customWidth="1"/>
    <col min="9992" max="9992" width="12" style="108" customWidth="1"/>
    <col min="9993" max="9993" width="16.7109375" style="108" customWidth="1"/>
    <col min="9994" max="9994" width="12" style="108" customWidth="1"/>
    <col min="9995" max="9995" width="16.28515625" style="108" customWidth="1"/>
    <col min="9996" max="9996" width="12.28515625" style="108" customWidth="1"/>
    <col min="9997" max="9997" width="17.42578125" style="108" customWidth="1"/>
    <col min="9998" max="9998" width="12" style="108" customWidth="1"/>
    <col min="9999" max="9999" width="16.5703125" style="108" customWidth="1"/>
    <col min="10000" max="10000" width="13.28515625" style="108" customWidth="1"/>
    <col min="10001" max="10001" width="16.5703125" style="108" customWidth="1"/>
    <col min="10002" max="10002" width="13.7109375" style="108" customWidth="1"/>
    <col min="10003" max="10003" width="15.7109375" style="108" customWidth="1"/>
    <col min="10004" max="10004" width="12.5703125" style="108" customWidth="1"/>
    <col min="10005" max="10005" width="19.140625" style="108" customWidth="1"/>
    <col min="10006" max="10006" width="12.28515625" style="108" customWidth="1"/>
    <col min="10007" max="10007" width="17.140625" style="108" customWidth="1"/>
    <col min="10008" max="10008" width="12.5703125" style="108" customWidth="1"/>
    <col min="10009" max="10009" width="17.7109375" style="108" customWidth="1"/>
    <col min="10010" max="10010" width="12.140625" style="108" customWidth="1"/>
    <col min="10011" max="10011" width="30.5703125" style="108" customWidth="1"/>
    <col min="10012" max="10015" width="8.140625" style="108" customWidth="1"/>
    <col min="10016" max="10016" width="9.42578125" style="108" customWidth="1"/>
    <col min="10017" max="10017" width="8.140625" style="108" customWidth="1"/>
    <col min="10018" max="10022" width="7.85546875" style="108" customWidth="1"/>
    <col min="10023" max="10023" width="11.28515625" style="108" customWidth="1"/>
    <col min="10024" max="10024" width="2.28515625" style="108" customWidth="1"/>
    <col min="10025" max="10025" width="19.42578125" style="108"/>
    <col min="10026" max="10051" width="11.28515625" style="108" customWidth="1"/>
    <col min="10052" max="10063" width="8.85546875" style="108" customWidth="1"/>
    <col min="10064" max="10241" width="19.42578125" style="108"/>
    <col min="10242" max="10244" width="11" style="108" customWidth="1"/>
    <col min="10245" max="10245" width="16.140625" style="108" customWidth="1"/>
    <col min="10246" max="10246" width="12.42578125" style="108" customWidth="1"/>
    <col min="10247" max="10247" width="14.28515625" style="108" customWidth="1"/>
    <col min="10248" max="10248" width="12" style="108" customWidth="1"/>
    <col min="10249" max="10249" width="16.7109375" style="108" customWidth="1"/>
    <col min="10250" max="10250" width="12" style="108" customWidth="1"/>
    <col min="10251" max="10251" width="16.28515625" style="108" customWidth="1"/>
    <col min="10252" max="10252" width="12.28515625" style="108" customWidth="1"/>
    <col min="10253" max="10253" width="17.42578125" style="108" customWidth="1"/>
    <col min="10254" max="10254" width="12" style="108" customWidth="1"/>
    <col min="10255" max="10255" width="16.5703125" style="108" customWidth="1"/>
    <col min="10256" max="10256" width="13.28515625" style="108" customWidth="1"/>
    <col min="10257" max="10257" width="16.5703125" style="108" customWidth="1"/>
    <col min="10258" max="10258" width="13.7109375" style="108" customWidth="1"/>
    <col min="10259" max="10259" width="15.7109375" style="108" customWidth="1"/>
    <col min="10260" max="10260" width="12.5703125" style="108" customWidth="1"/>
    <col min="10261" max="10261" width="19.140625" style="108" customWidth="1"/>
    <col min="10262" max="10262" width="12.28515625" style="108" customWidth="1"/>
    <col min="10263" max="10263" width="17.140625" style="108" customWidth="1"/>
    <col min="10264" max="10264" width="12.5703125" style="108" customWidth="1"/>
    <col min="10265" max="10265" width="17.7109375" style="108" customWidth="1"/>
    <col min="10266" max="10266" width="12.140625" style="108" customWidth="1"/>
    <col min="10267" max="10267" width="30.5703125" style="108" customWidth="1"/>
    <col min="10268" max="10271" width="8.140625" style="108" customWidth="1"/>
    <col min="10272" max="10272" width="9.42578125" style="108" customWidth="1"/>
    <col min="10273" max="10273" width="8.140625" style="108" customWidth="1"/>
    <col min="10274" max="10278" width="7.85546875" style="108" customWidth="1"/>
    <col min="10279" max="10279" width="11.28515625" style="108" customWidth="1"/>
    <col min="10280" max="10280" width="2.28515625" style="108" customWidth="1"/>
    <col min="10281" max="10281" width="19.42578125" style="108"/>
    <col min="10282" max="10307" width="11.28515625" style="108" customWidth="1"/>
    <col min="10308" max="10319" width="8.85546875" style="108" customWidth="1"/>
    <col min="10320" max="10497" width="19.42578125" style="108"/>
    <col min="10498" max="10500" width="11" style="108" customWidth="1"/>
    <col min="10501" max="10501" width="16.140625" style="108" customWidth="1"/>
    <col min="10502" max="10502" width="12.42578125" style="108" customWidth="1"/>
    <col min="10503" max="10503" width="14.28515625" style="108" customWidth="1"/>
    <col min="10504" max="10504" width="12" style="108" customWidth="1"/>
    <col min="10505" max="10505" width="16.7109375" style="108" customWidth="1"/>
    <col min="10506" max="10506" width="12" style="108" customWidth="1"/>
    <col min="10507" max="10507" width="16.28515625" style="108" customWidth="1"/>
    <col min="10508" max="10508" width="12.28515625" style="108" customWidth="1"/>
    <col min="10509" max="10509" width="17.42578125" style="108" customWidth="1"/>
    <col min="10510" max="10510" width="12" style="108" customWidth="1"/>
    <col min="10511" max="10511" width="16.5703125" style="108" customWidth="1"/>
    <col min="10512" max="10512" width="13.28515625" style="108" customWidth="1"/>
    <col min="10513" max="10513" width="16.5703125" style="108" customWidth="1"/>
    <col min="10514" max="10514" width="13.7109375" style="108" customWidth="1"/>
    <col min="10515" max="10515" width="15.7109375" style="108" customWidth="1"/>
    <col min="10516" max="10516" width="12.5703125" style="108" customWidth="1"/>
    <col min="10517" max="10517" width="19.140625" style="108" customWidth="1"/>
    <col min="10518" max="10518" width="12.28515625" style="108" customWidth="1"/>
    <col min="10519" max="10519" width="17.140625" style="108" customWidth="1"/>
    <col min="10520" max="10520" width="12.5703125" style="108" customWidth="1"/>
    <col min="10521" max="10521" width="17.7109375" style="108" customWidth="1"/>
    <col min="10522" max="10522" width="12.140625" style="108" customWidth="1"/>
    <col min="10523" max="10523" width="30.5703125" style="108" customWidth="1"/>
    <col min="10524" max="10527" width="8.140625" style="108" customWidth="1"/>
    <col min="10528" max="10528" width="9.42578125" style="108" customWidth="1"/>
    <col min="10529" max="10529" width="8.140625" style="108" customWidth="1"/>
    <col min="10530" max="10534" width="7.85546875" style="108" customWidth="1"/>
    <col min="10535" max="10535" width="11.28515625" style="108" customWidth="1"/>
    <col min="10536" max="10536" width="2.28515625" style="108" customWidth="1"/>
    <col min="10537" max="10537" width="19.42578125" style="108"/>
    <col min="10538" max="10563" width="11.28515625" style="108" customWidth="1"/>
    <col min="10564" max="10575" width="8.85546875" style="108" customWidth="1"/>
    <col min="10576" max="10753" width="19.42578125" style="108"/>
    <col min="10754" max="10756" width="11" style="108" customWidth="1"/>
    <col min="10757" max="10757" width="16.140625" style="108" customWidth="1"/>
    <col min="10758" max="10758" width="12.42578125" style="108" customWidth="1"/>
    <col min="10759" max="10759" width="14.28515625" style="108" customWidth="1"/>
    <col min="10760" max="10760" width="12" style="108" customWidth="1"/>
    <col min="10761" max="10761" width="16.7109375" style="108" customWidth="1"/>
    <col min="10762" max="10762" width="12" style="108" customWidth="1"/>
    <col min="10763" max="10763" width="16.28515625" style="108" customWidth="1"/>
    <col min="10764" max="10764" width="12.28515625" style="108" customWidth="1"/>
    <col min="10765" max="10765" width="17.42578125" style="108" customWidth="1"/>
    <col min="10766" max="10766" width="12" style="108" customWidth="1"/>
    <col min="10767" max="10767" width="16.5703125" style="108" customWidth="1"/>
    <col min="10768" max="10768" width="13.28515625" style="108" customWidth="1"/>
    <col min="10769" max="10769" width="16.5703125" style="108" customWidth="1"/>
    <col min="10770" max="10770" width="13.7109375" style="108" customWidth="1"/>
    <col min="10771" max="10771" width="15.7109375" style="108" customWidth="1"/>
    <col min="10772" max="10772" width="12.5703125" style="108" customWidth="1"/>
    <col min="10773" max="10773" width="19.140625" style="108" customWidth="1"/>
    <col min="10774" max="10774" width="12.28515625" style="108" customWidth="1"/>
    <col min="10775" max="10775" width="17.140625" style="108" customWidth="1"/>
    <col min="10776" max="10776" width="12.5703125" style="108" customWidth="1"/>
    <col min="10777" max="10777" width="17.7109375" style="108" customWidth="1"/>
    <col min="10778" max="10778" width="12.140625" style="108" customWidth="1"/>
    <col min="10779" max="10779" width="30.5703125" style="108" customWidth="1"/>
    <col min="10780" max="10783" width="8.140625" style="108" customWidth="1"/>
    <col min="10784" max="10784" width="9.42578125" style="108" customWidth="1"/>
    <col min="10785" max="10785" width="8.140625" style="108" customWidth="1"/>
    <col min="10786" max="10790" width="7.85546875" style="108" customWidth="1"/>
    <col min="10791" max="10791" width="11.28515625" style="108" customWidth="1"/>
    <col min="10792" max="10792" width="2.28515625" style="108" customWidth="1"/>
    <col min="10793" max="10793" width="19.42578125" style="108"/>
    <col min="10794" max="10819" width="11.28515625" style="108" customWidth="1"/>
    <col min="10820" max="10831" width="8.85546875" style="108" customWidth="1"/>
    <col min="10832" max="11009" width="19.42578125" style="108"/>
    <col min="11010" max="11012" width="11" style="108" customWidth="1"/>
    <col min="11013" max="11013" width="16.140625" style="108" customWidth="1"/>
    <col min="11014" max="11014" width="12.42578125" style="108" customWidth="1"/>
    <col min="11015" max="11015" width="14.28515625" style="108" customWidth="1"/>
    <col min="11016" max="11016" width="12" style="108" customWidth="1"/>
    <col min="11017" max="11017" width="16.7109375" style="108" customWidth="1"/>
    <col min="11018" max="11018" width="12" style="108" customWidth="1"/>
    <col min="11019" max="11019" width="16.28515625" style="108" customWidth="1"/>
    <col min="11020" max="11020" width="12.28515625" style="108" customWidth="1"/>
    <col min="11021" max="11021" width="17.42578125" style="108" customWidth="1"/>
    <col min="11022" max="11022" width="12" style="108" customWidth="1"/>
    <col min="11023" max="11023" width="16.5703125" style="108" customWidth="1"/>
    <col min="11024" max="11024" width="13.28515625" style="108" customWidth="1"/>
    <col min="11025" max="11025" width="16.5703125" style="108" customWidth="1"/>
    <col min="11026" max="11026" width="13.7109375" style="108" customWidth="1"/>
    <col min="11027" max="11027" width="15.7109375" style="108" customWidth="1"/>
    <col min="11028" max="11028" width="12.5703125" style="108" customWidth="1"/>
    <col min="11029" max="11029" width="19.140625" style="108" customWidth="1"/>
    <col min="11030" max="11030" width="12.28515625" style="108" customWidth="1"/>
    <col min="11031" max="11031" width="17.140625" style="108" customWidth="1"/>
    <col min="11032" max="11032" width="12.5703125" style="108" customWidth="1"/>
    <col min="11033" max="11033" width="17.7109375" style="108" customWidth="1"/>
    <col min="11034" max="11034" width="12.140625" style="108" customWidth="1"/>
    <col min="11035" max="11035" width="30.5703125" style="108" customWidth="1"/>
    <col min="11036" max="11039" width="8.140625" style="108" customWidth="1"/>
    <col min="11040" max="11040" width="9.42578125" style="108" customWidth="1"/>
    <col min="11041" max="11041" width="8.140625" style="108" customWidth="1"/>
    <col min="11042" max="11046" width="7.85546875" style="108" customWidth="1"/>
    <col min="11047" max="11047" width="11.28515625" style="108" customWidth="1"/>
    <col min="11048" max="11048" width="2.28515625" style="108" customWidth="1"/>
    <col min="11049" max="11049" width="19.42578125" style="108"/>
    <col min="11050" max="11075" width="11.28515625" style="108" customWidth="1"/>
    <col min="11076" max="11087" width="8.85546875" style="108" customWidth="1"/>
    <col min="11088" max="11265" width="19.42578125" style="108"/>
    <col min="11266" max="11268" width="11" style="108" customWidth="1"/>
    <col min="11269" max="11269" width="16.140625" style="108" customWidth="1"/>
    <col min="11270" max="11270" width="12.42578125" style="108" customWidth="1"/>
    <col min="11271" max="11271" width="14.28515625" style="108" customWidth="1"/>
    <col min="11272" max="11272" width="12" style="108" customWidth="1"/>
    <col min="11273" max="11273" width="16.7109375" style="108" customWidth="1"/>
    <col min="11274" max="11274" width="12" style="108" customWidth="1"/>
    <col min="11275" max="11275" width="16.28515625" style="108" customWidth="1"/>
    <col min="11276" max="11276" width="12.28515625" style="108" customWidth="1"/>
    <col min="11277" max="11277" width="17.42578125" style="108" customWidth="1"/>
    <col min="11278" max="11278" width="12" style="108" customWidth="1"/>
    <col min="11279" max="11279" width="16.5703125" style="108" customWidth="1"/>
    <col min="11280" max="11280" width="13.28515625" style="108" customWidth="1"/>
    <col min="11281" max="11281" width="16.5703125" style="108" customWidth="1"/>
    <col min="11282" max="11282" width="13.7109375" style="108" customWidth="1"/>
    <col min="11283" max="11283" width="15.7109375" style="108" customWidth="1"/>
    <col min="11284" max="11284" width="12.5703125" style="108" customWidth="1"/>
    <col min="11285" max="11285" width="19.140625" style="108" customWidth="1"/>
    <col min="11286" max="11286" width="12.28515625" style="108" customWidth="1"/>
    <col min="11287" max="11287" width="17.140625" style="108" customWidth="1"/>
    <col min="11288" max="11288" width="12.5703125" style="108" customWidth="1"/>
    <col min="11289" max="11289" width="17.7109375" style="108" customWidth="1"/>
    <col min="11290" max="11290" width="12.140625" style="108" customWidth="1"/>
    <col min="11291" max="11291" width="30.5703125" style="108" customWidth="1"/>
    <col min="11292" max="11295" width="8.140625" style="108" customWidth="1"/>
    <col min="11296" max="11296" width="9.42578125" style="108" customWidth="1"/>
    <col min="11297" max="11297" width="8.140625" style="108" customWidth="1"/>
    <col min="11298" max="11302" width="7.85546875" style="108" customWidth="1"/>
    <col min="11303" max="11303" width="11.28515625" style="108" customWidth="1"/>
    <col min="11304" max="11304" width="2.28515625" style="108" customWidth="1"/>
    <col min="11305" max="11305" width="19.42578125" style="108"/>
    <col min="11306" max="11331" width="11.28515625" style="108" customWidth="1"/>
    <col min="11332" max="11343" width="8.85546875" style="108" customWidth="1"/>
    <col min="11344" max="11521" width="19.42578125" style="108"/>
    <col min="11522" max="11524" width="11" style="108" customWidth="1"/>
    <col min="11525" max="11525" width="16.140625" style="108" customWidth="1"/>
    <col min="11526" max="11526" width="12.42578125" style="108" customWidth="1"/>
    <col min="11527" max="11527" width="14.28515625" style="108" customWidth="1"/>
    <col min="11528" max="11528" width="12" style="108" customWidth="1"/>
    <col min="11529" max="11529" width="16.7109375" style="108" customWidth="1"/>
    <col min="11530" max="11530" width="12" style="108" customWidth="1"/>
    <col min="11531" max="11531" width="16.28515625" style="108" customWidth="1"/>
    <col min="11532" max="11532" width="12.28515625" style="108" customWidth="1"/>
    <col min="11533" max="11533" width="17.42578125" style="108" customWidth="1"/>
    <col min="11534" max="11534" width="12" style="108" customWidth="1"/>
    <col min="11535" max="11535" width="16.5703125" style="108" customWidth="1"/>
    <col min="11536" max="11536" width="13.28515625" style="108" customWidth="1"/>
    <col min="11537" max="11537" width="16.5703125" style="108" customWidth="1"/>
    <col min="11538" max="11538" width="13.7109375" style="108" customWidth="1"/>
    <col min="11539" max="11539" width="15.7109375" style="108" customWidth="1"/>
    <col min="11540" max="11540" width="12.5703125" style="108" customWidth="1"/>
    <col min="11541" max="11541" width="19.140625" style="108" customWidth="1"/>
    <col min="11542" max="11542" width="12.28515625" style="108" customWidth="1"/>
    <col min="11543" max="11543" width="17.140625" style="108" customWidth="1"/>
    <col min="11544" max="11544" width="12.5703125" style="108" customWidth="1"/>
    <col min="11545" max="11545" width="17.7109375" style="108" customWidth="1"/>
    <col min="11546" max="11546" width="12.140625" style="108" customWidth="1"/>
    <col min="11547" max="11547" width="30.5703125" style="108" customWidth="1"/>
    <col min="11548" max="11551" width="8.140625" style="108" customWidth="1"/>
    <col min="11552" max="11552" width="9.42578125" style="108" customWidth="1"/>
    <col min="11553" max="11553" width="8.140625" style="108" customWidth="1"/>
    <col min="11554" max="11558" width="7.85546875" style="108" customWidth="1"/>
    <col min="11559" max="11559" width="11.28515625" style="108" customWidth="1"/>
    <col min="11560" max="11560" width="2.28515625" style="108" customWidth="1"/>
    <col min="11561" max="11561" width="19.42578125" style="108"/>
    <col min="11562" max="11587" width="11.28515625" style="108" customWidth="1"/>
    <col min="11588" max="11599" width="8.85546875" style="108" customWidth="1"/>
    <col min="11600" max="11777" width="19.42578125" style="108"/>
    <col min="11778" max="11780" width="11" style="108" customWidth="1"/>
    <col min="11781" max="11781" width="16.140625" style="108" customWidth="1"/>
    <col min="11782" max="11782" width="12.42578125" style="108" customWidth="1"/>
    <col min="11783" max="11783" width="14.28515625" style="108" customWidth="1"/>
    <col min="11784" max="11784" width="12" style="108" customWidth="1"/>
    <col min="11785" max="11785" width="16.7109375" style="108" customWidth="1"/>
    <col min="11786" max="11786" width="12" style="108" customWidth="1"/>
    <col min="11787" max="11787" width="16.28515625" style="108" customWidth="1"/>
    <col min="11788" max="11788" width="12.28515625" style="108" customWidth="1"/>
    <col min="11789" max="11789" width="17.42578125" style="108" customWidth="1"/>
    <col min="11790" max="11790" width="12" style="108" customWidth="1"/>
    <col min="11791" max="11791" width="16.5703125" style="108" customWidth="1"/>
    <col min="11792" max="11792" width="13.28515625" style="108" customWidth="1"/>
    <col min="11793" max="11793" width="16.5703125" style="108" customWidth="1"/>
    <col min="11794" max="11794" width="13.7109375" style="108" customWidth="1"/>
    <col min="11795" max="11795" width="15.7109375" style="108" customWidth="1"/>
    <col min="11796" max="11796" width="12.5703125" style="108" customWidth="1"/>
    <col min="11797" max="11797" width="19.140625" style="108" customWidth="1"/>
    <col min="11798" max="11798" width="12.28515625" style="108" customWidth="1"/>
    <col min="11799" max="11799" width="17.140625" style="108" customWidth="1"/>
    <col min="11800" max="11800" width="12.5703125" style="108" customWidth="1"/>
    <col min="11801" max="11801" width="17.7109375" style="108" customWidth="1"/>
    <col min="11802" max="11802" width="12.140625" style="108" customWidth="1"/>
    <col min="11803" max="11803" width="30.5703125" style="108" customWidth="1"/>
    <col min="11804" max="11807" width="8.140625" style="108" customWidth="1"/>
    <col min="11808" max="11808" width="9.42578125" style="108" customWidth="1"/>
    <col min="11809" max="11809" width="8.140625" style="108" customWidth="1"/>
    <col min="11810" max="11814" width="7.85546875" style="108" customWidth="1"/>
    <col min="11815" max="11815" width="11.28515625" style="108" customWidth="1"/>
    <col min="11816" max="11816" width="2.28515625" style="108" customWidth="1"/>
    <col min="11817" max="11817" width="19.42578125" style="108"/>
    <col min="11818" max="11843" width="11.28515625" style="108" customWidth="1"/>
    <col min="11844" max="11855" width="8.85546875" style="108" customWidth="1"/>
    <col min="11856" max="12033" width="19.42578125" style="108"/>
    <col min="12034" max="12036" width="11" style="108" customWidth="1"/>
    <col min="12037" max="12037" width="16.140625" style="108" customWidth="1"/>
    <col min="12038" max="12038" width="12.42578125" style="108" customWidth="1"/>
    <col min="12039" max="12039" width="14.28515625" style="108" customWidth="1"/>
    <col min="12040" max="12040" width="12" style="108" customWidth="1"/>
    <col min="12041" max="12041" width="16.7109375" style="108" customWidth="1"/>
    <col min="12042" max="12042" width="12" style="108" customWidth="1"/>
    <col min="12043" max="12043" width="16.28515625" style="108" customWidth="1"/>
    <col min="12044" max="12044" width="12.28515625" style="108" customWidth="1"/>
    <col min="12045" max="12045" width="17.42578125" style="108" customWidth="1"/>
    <col min="12046" max="12046" width="12" style="108" customWidth="1"/>
    <col min="12047" max="12047" width="16.5703125" style="108" customWidth="1"/>
    <col min="12048" max="12048" width="13.28515625" style="108" customWidth="1"/>
    <col min="12049" max="12049" width="16.5703125" style="108" customWidth="1"/>
    <col min="12050" max="12050" width="13.7109375" style="108" customWidth="1"/>
    <col min="12051" max="12051" width="15.7109375" style="108" customWidth="1"/>
    <col min="12052" max="12052" width="12.5703125" style="108" customWidth="1"/>
    <col min="12053" max="12053" width="19.140625" style="108" customWidth="1"/>
    <col min="12054" max="12054" width="12.28515625" style="108" customWidth="1"/>
    <col min="12055" max="12055" width="17.140625" style="108" customWidth="1"/>
    <col min="12056" max="12056" width="12.5703125" style="108" customWidth="1"/>
    <col min="12057" max="12057" width="17.7109375" style="108" customWidth="1"/>
    <col min="12058" max="12058" width="12.140625" style="108" customWidth="1"/>
    <col min="12059" max="12059" width="30.5703125" style="108" customWidth="1"/>
    <col min="12060" max="12063" width="8.140625" style="108" customWidth="1"/>
    <col min="12064" max="12064" width="9.42578125" style="108" customWidth="1"/>
    <col min="12065" max="12065" width="8.140625" style="108" customWidth="1"/>
    <col min="12066" max="12070" width="7.85546875" style="108" customWidth="1"/>
    <col min="12071" max="12071" width="11.28515625" style="108" customWidth="1"/>
    <col min="12072" max="12072" width="2.28515625" style="108" customWidth="1"/>
    <col min="12073" max="12073" width="19.42578125" style="108"/>
    <col min="12074" max="12099" width="11.28515625" style="108" customWidth="1"/>
    <col min="12100" max="12111" width="8.85546875" style="108" customWidth="1"/>
    <col min="12112" max="12289" width="19.42578125" style="108"/>
    <col min="12290" max="12292" width="11" style="108" customWidth="1"/>
    <col min="12293" max="12293" width="16.140625" style="108" customWidth="1"/>
    <col min="12294" max="12294" width="12.42578125" style="108" customWidth="1"/>
    <col min="12295" max="12295" width="14.28515625" style="108" customWidth="1"/>
    <col min="12296" max="12296" width="12" style="108" customWidth="1"/>
    <col min="12297" max="12297" width="16.7109375" style="108" customWidth="1"/>
    <col min="12298" max="12298" width="12" style="108" customWidth="1"/>
    <col min="12299" max="12299" width="16.28515625" style="108" customWidth="1"/>
    <col min="12300" max="12300" width="12.28515625" style="108" customWidth="1"/>
    <col min="12301" max="12301" width="17.42578125" style="108" customWidth="1"/>
    <col min="12302" max="12302" width="12" style="108" customWidth="1"/>
    <col min="12303" max="12303" width="16.5703125" style="108" customWidth="1"/>
    <col min="12304" max="12304" width="13.28515625" style="108" customWidth="1"/>
    <col min="12305" max="12305" width="16.5703125" style="108" customWidth="1"/>
    <col min="12306" max="12306" width="13.7109375" style="108" customWidth="1"/>
    <col min="12307" max="12307" width="15.7109375" style="108" customWidth="1"/>
    <col min="12308" max="12308" width="12.5703125" style="108" customWidth="1"/>
    <col min="12309" max="12309" width="19.140625" style="108" customWidth="1"/>
    <col min="12310" max="12310" width="12.28515625" style="108" customWidth="1"/>
    <col min="12311" max="12311" width="17.140625" style="108" customWidth="1"/>
    <col min="12312" max="12312" width="12.5703125" style="108" customWidth="1"/>
    <col min="12313" max="12313" width="17.7109375" style="108" customWidth="1"/>
    <col min="12314" max="12314" width="12.140625" style="108" customWidth="1"/>
    <col min="12315" max="12315" width="30.5703125" style="108" customWidth="1"/>
    <col min="12316" max="12319" width="8.140625" style="108" customWidth="1"/>
    <col min="12320" max="12320" width="9.42578125" style="108" customWidth="1"/>
    <col min="12321" max="12321" width="8.140625" style="108" customWidth="1"/>
    <col min="12322" max="12326" width="7.85546875" style="108" customWidth="1"/>
    <col min="12327" max="12327" width="11.28515625" style="108" customWidth="1"/>
    <col min="12328" max="12328" width="2.28515625" style="108" customWidth="1"/>
    <col min="12329" max="12329" width="19.42578125" style="108"/>
    <col min="12330" max="12355" width="11.28515625" style="108" customWidth="1"/>
    <col min="12356" max="12367" width="8.85546875" style="108" customWidth="1"/>
    <col min="12368" max="12545" width="19.42578125" style="108"/>
    <col min="12546" max="12548" width="11" style="108" customWidth="1"/>
    <col min="12549" max="12549" width="16.140625" style="108" customWidth="1"/>
    <col min="12550" max="12550" width="12.42578125" style="108" customWidth="1"/>
    <col min="12551" max="12551" width="14.28515625" style="108" customWidth="1"/>
    <col min="12552" max="12552" width="12" style="108" customWidth="1"/>
    <col min="12553" max="12553" width="16.7109375" style="108" customWidth="1"/>
    <col min="12554" max="12554" width="12" style="108" customWidth="1"/>
    <col min="12555" max="12555" width="16.28515625" style="108" customWidth="1"/>
    <col min="12556" max="12556" width="12.28515625" style="108" customWidth="1"/>
    <col min="12557" max="12557" width="17.42578125" style="108" customWidth="1"/>
    <col min="12558" max="12558" width="12" style="108" customWidth="1"/>
    <col min="12559" max="12559" width="16.5703125" style="108" customWidth="1"/>
    <col min="12560" max="12560" width="13.28515625" style="108" customWidth="1"/>
    <col min="12561" max="12561" width="16.5703125" style="108" customWidth="1"/>
    <col min="12562" max="12562" width="13.7109375" style="108" customWidth="1"/>
    <col min="12563" max="12563" width="15.7109375" style="108" customWidth="1"/>
    <col min="12564" max="12564" width="12.5703125" style="108" customWidth="1"/>
    <col min="12565" max="12565" width="19.140625" style="108" customWidth="1"/>
    <col min="12566" max="12566" width="12.28515625" style="108" customWidth="1"/>
    <col min="12567" max="12567" width="17.140625" style="108" customWidth="1"/>
    <col min="12568" max="12568" width="12.5703125" style="108" customWidth="1"/>
    <col min="12569" max="12569" width="17.7109375" style="108" customWidth="1"/>
    <col min="12570" max="12570" width="12.140625" style="108" customWidth="1"/>
    <col min="12571" max="12571" width="30.5703125" style="108" customWidth="1"/>
    <col min="12572" max="12575" width="8.140625" style="108" customWidth="1"/>
    <col min="12576" max="12576" width="9.42578125" style="108" customWidth="1"/>
    <col min="12577" max="12577" width="8.140625" style="108" customWidth="1"/>
    <col min="12578" max="12582" width="7.85546875" style="108" customWidth="1"/>
    <col min="12583" max="12583" width="11.28515625" style="108" customWidth="1"/>
    <col min="12584" max="12584" width="2.28515625" style="108" customWidth="1"/>
    <col min="12585" max="12585" width="19.42578125" style="108"/>
    <col min="12586" max="12611" width="11.28515625" style="108" customWidth="1"/>
    <col min="12612" max="12623" width="8.85546875" style="108" customWidth="1"/>
    <col min="12624" max="12801" width="19.42578125" style="108"/>
    <col min="12802" max="12804" width="11" style="108" customWidth="1"/>
    <col min="12805" max="12805" width="16.140625" style="108" customWidth="1"/>
    <col min="12806" max="12806" width="12.42578125" style="108" customWidth="1"/>
    <col min="12807" max="12807" width="14.28515625" style="108" customWidth="1"/>
    <col min="12808" max="12808" width="12" style="108" customWidth="1"/>
    <col min="12809" max="12809" width="16.7109375" style="108" customWidth="1"/>
    <col min="12810" max="12810" width="12" style="108" customWidth="1"/>
    <col min="12811" max="12811" width="16.28515625" style="108" customWidth="1"/>
    <col min="12812" max="12812" width="12.28515625" style="108" customWidth="1"/>
    <col min="12813" max="12813" width="17.42578125" style="108" customWidth="1"/>
    <col min="12814" max="12814" width="12" style="108" customWidth="1"/>
    <col min="12815" max="12815" width="16.5703125" style="108" customWidth="1"/>
    <col min="12816" max="12816" width="13.28515625" style="108" customWidth="1"/>
    <col min="12817" max="12817" width="16.5703125" style="108" customWidth="1"/>
    <col min="12818" max="12818" width="13.7109375" style="108" customWidth="1"/>
    <col min="12819" max="12819" width="15.7109375" style="108" customWidth="1"/>
    <col min="12820" max="12820" width="12.5703125" style="108" customWidth="1"/>
    <col min="12821" max="12821" width="19.140625" style="108" customWidth="1"/>
    <col min="12822" max="12822" width="12.28515625" style="108" customWidth="1"/>
    <col min="12823" max="12823" width="17.140625" style="108" customWidth="1"/>
    <col min="12824" max="12824" width="12.5703125" style="108" customWidth="1"/>
    <col min="12825" max="12825" width="17.7109375" style="108" customWidth="1"/>
    <col min="12826" max="12826" width="12.140625" style="108" customWidth="1"/>
    <col min="12827" max="12827" width="30.5703125" style="108" customWidth="1"/>
    <col min="12828" max="12831" width="8.140625" style="108" customWidth="1"/>
    <col min="12832" max="12832" width="9.42578125" style="108" customWidth="1"/>
    <col min="12833" max="12833" width="8.140625" style="108" customWidth="1"/>
    <col min="12834" max="12838" width="7.85546875" style="108" customWidth="1"/>
    <col min="12839" max="12839" width="11.28515625" style="108" customWidth="1"/>
    <col min="12840" max="12840" width="2.28515625" style="108" customWidth="1"/>
    <col min="12841" max="12841" width="19.42578125" style="108"/>
    <col min="12842" max="12867" width="11.28515625" style="108" customWidth="1"/>
    <col min="12868" max="12879" width="8.85546875" style="108" customWidth="1"/>
    <col min="12880" max="13057" width="19.42578125" style="108"/>
    <col min="13058" max="13060" width="11" style="108" customWidth="1"/>
    <col min="13061" max="13061" width="16.140625" style="108" customWidth="1"/>
    <col min="13062" max="13062" width="12.42578125" style="108" customWidth="1"/>
    <col min="13063" max="13063" width="14.28515625" style="108" customWidth="1"/>
    <col min="13064" max="13064" width="12" style="108" customWidth="1"/>
    <col min="13065" max="13065" width="16.7109375" style="108" customWidth="1"/>
    <col min="13066" max="13066" width="12" style="108" customWidth="1"/>
    <col min="13067" max="13067" width="16.28515625" style="108" customWidth="1"/>
    <col min="13068" max="13068" width="12.28515625" style="108" customWidth="1"/>
    <col min="13069" max="13069" width="17.42578125" style="108" customWidth="1"/>
    <col min="13070" max="13070" width="12" style="108" customWidth="1"/>
    <col min="13071" max="13071" width="16.5703125" style="108" customWidth="1"/>
    <col min="13072" max="13072" width="13.28515625" style="108" customWidth="1"/>
    <col min="13073" max="13073" width="16.5703125" style="108" customWidth="1"/>
    <col min="13074" max="13074" width="13.7109375" style="108" customWidth="1"/>
    <col min="13075" max="13075" width="15.7109375" style="108" customWidth="1"/>
    <col min="13076" max="13076" width="12.5703125" style="108" customWidth="1"/>
    <col min="13077" max="13077" width="19.140625" style="108" customWidth="1"/>
    <col min="13078" max="13078" width="12.28515625" style="108" customWidth="1"/>
    <col min="13079" max="13079" width="17.140625" style="108" customWidth="1"/>
    <col min="13080" max="13080" width="12.5703125" style="108" customWidth="1"/>
    <col min="13081" max="13081" width="17.7109375" style="108" customWidth="1"/>
    <col min="13082" max="13082" width="12.140625" style="108" customWidth="1"/>
    <col min="13083" max="13083" width="30.5703125" style="108" customWidth="1"/>
    <col min="13084" max="13087" width="8.140625" style="108" customWidth="1"/>
    <col min="13088" max="13088" width="9.42578125" style="108" customWidth="1"/>
    <col min="13089" max="13089" width="8.140625" style="108" customWidth="1"/>
    <col min="13090" max="13094" width="7.85546875" style="108" customWidth="1"/>
    <col min="13095" max="13095" width="11.28515625" style="108" customWidth="1"/>
    <col min="13096" max="13096" width="2.28515625" style="108" customWidth="1"/>
    <col min="13097" max="13097" width="19.42578125" style="108"/>
    <col min="13098" max="13123" width="11.28515625" style="108" customWidth="1"/>
    <col min="13124" max="13135" width="8.85546875" style="108" customWidth="1"/>
    <col min="13136" max="13313" width="19.42578125" style="108"/>
    <col min="13314" max="13316" width="11" style="108" customWidth="1"/>
    <col min="13317" max="13317" width="16.140625" style="108" customWidth="1"/>
    <col min="13318" max="13318" width="12.42578125" style="108" customWidth="1"/>
    <col min="13319" max="13319" width="14.28515625" style="108" customWidth="1"/>
    <col min="13320" max="13320" width="12" style="108" customWidth="1"/>
    <col min="13321" max="13321" width="16.7109375" style="108" customWidth="1"/>
    <col min="13322" max="13322" width="12" style="108" customWidth="1"/>
    <col min="13323" max="13323" width="16.28515625" style="108" customWidth="1"/>
    <col min="13324" max="13324" width="12.28515625" style="108" customWidth="1"/>
    <col min="13325" max="13325" width="17.42578125" style="108" customWidth="1"/>
    <col min="13326" max="13326" width="12" style="108" customWidth="1"/>
    <col min="13327" max="13327" width="16.5703125" style="108" customWidth="1"/>
    <col min="13328" max="13328" width="13.28515625" style="108" customWidth="1"/>
    <col min="13329" max="13329" width="16.5703125" style="108" customWidth="1"/>
    <col min="13330" max="13330" width="13.7109375" style="108" customWidth="1"/>
    <col min="13331" max="13331" width="15.7109375" style="108" customWidth="1"/>
    <col min="13332" max="13332" width="12.5703125" style="108" customWidth="1"/>
    <col min="13333" max="13333" width="19.140625" style="108" customWidth="1"/>
    <col min="13334" max="13334" width="12.28515625" style="108" customWidth="1"/>
    <col min="13335" max="13335" width="17.140625" style="108" customWidth="1"/>
    <col min="13336" max="13336" width="12.5703125" style="108" customWidth="1"/>
    <col min="13337" max="13337" width="17.7109375" style="108" customWidth="1"/>
    <col min="13338" max="13338" width="12.140625" style="108" customWidth="1"/>
    <col min="13339" max="13339" width="30.5703125" style="108" customWidth="1"/>
    <col min="13340" max="13343" width="8.140625" style="108" customWidth="1"/>
    <col min="13344" max="13344" width="9.42578125" style="108" customWidth="1"/>
    <col min="13345" max="13345" width="8.140625" style="108" customWidth="1"/>
    <col min="13346" max="13350" width="7.85546875" style="108" customWidth="1"/>
    <col min="13351" max="13351" width="11.28515625" style="108" customWidth="1"/>
    <col min="13352" max="13352" width="2.28515625" style="108" customWidth="1"/>
    <col min="13353" max="13353" width="19.42578125" style="108"/>
    <col min="13354" max="13379" width="11.28515625" style="108" customWidth="1"/>
    <col min="13380" max="13391" width="8.85546875" style="108" customWidth="1"/>
    <col min="13392" max="13569" width="19.42578125" style="108"/>
    <col min="13570" max="13572" width="11" style="108" customWidth="1"/>
    <col min="13573" max="13573" width="16.140625" style="108" customWidth="1"/>
    <col min="13574" max="13574" width="12.42578125" style="108" customWidth="1"/>
    <col min="13575" max="13575" width="14.28515625" style="108" customWidth="1"/>
    <col min="13576" max="13576" width="12" style="108" customWidth="1"/>
    <col min="13577" max="13577" width="16.7109375" style="108" customWidth="1"/>
    <col min="13578" max="13578" width="12" style="108" customWidth="1"/>
    <col min="13579" max="13579" width="16.28515625" style="108" customWidth="1"/>
    <col min="13580" max="13580" width="12.28515625" style="108" customWidth="1"/>
    <col min="13581" max="13581" width="17.42578125" style="108" customWidth="1"/>
    <col min="13582" max="13582" width="12" style="108" customWidth="1"/>
    <col min="13583" max="13583" width="16.5703125" style="108" customWidth="1"/>
    <col min="13584" max="13584" width="13.28515625" style="108" customWidth="1"/>
    <col min="13585" max="13585" width="16.5703125" style="108" customWidth="1"/>
    <col min="13586" max="13586" width="13.7109375" style="108" customWidth="1"/>
    <col min="13587" max="13587" width="15.7109375" style="108" customWidth="1"/>
    <col min="13588" max="13588" width="12.5703125" style="108" customWidth="1"/>
    <col min="13589" max="13589" width="19.140625" style="108" customWidth="1"/>
    <col min="13590" max="13590" width="12.28515625" style="108" customWidth="1"/>
    <col min="13591" max="13591" width="17.140625" style="108" customWidth="1"/>
    <col min="13592" max="13592" width="12.5703125" style="108" customWidth="1"/>
    <col min="13593" max="13593" width="17.7109375" style="108" customWidth="1"/>
    <col min="13594" max="13594" width="12.140625" style="108" customWidth="1"/>
    <col min="13595" max="13595" width="30.5703125" style="108" customWidth="1"/>
    <col min="13596" max="13599" width="8.140625" style="108" customWidth="1"/>
    <col min="13600" max="13600" width="9.42578125" style="108" customWidth="1"/>
    <col min="13601" max="13601" width="8.140625" style="108" customWidth="1"/>
    <col min="13602" max="13606" width="7.85546875" style="108" customWidth="1"/>
    <col min="13607" max="13607" width="11.28515625" style="108" customWidth="1"/>
    <col min="13608" max="13608" width="2.28515625" style="108" customWidth="1"/>
    <col min="13609" max="13609" width="19.42578125" style="108"/>
    <col min="13610" max="13635" width="11.28515625" style="108" customWidth="1"/>
    <col min="13636" max="13647" width="8.85546875" style="108" customWidth="1"/>
    <col min="13648" max="13825" width="19.42578125" style="108"/>
    <col min="13826" max="13828" width="11" style="108" customWidth="1"/>
    <col min="13829" max="13829" width="16.140625" style="108" customWidth="1"/>
    <col min="13830" max="13830" width="12.42578125" style="108" customWidth="1"/>
    <col min="13831" max="13831" width="14.28515625" style="108" customWidth="1"/>
    <col min="13832" max="13832" width="12" style="108" customWidth="1"/>
    <col min="13833" max="13833" width="16.7109375" style="108" customWidth="1"/>
    <col min="13834" max="13834" width="12" style="108" customWidth="1"/>
    <col min="13835" max="13835" width="16.28515625" style="108" customWidth="1"/>
    <col min="13836" max="13836" width="12.28515625" style="108" customWidth="1"/>
    <col min="13837" max="13837" width="17.42578125" style="108" customWidth="1"/>
    <col min="13838" max="13838" width="12" style="108" customWidth="1"/>
    <col min="13839" max="13839" width="16.5703125" style="108" customWidth="1"/>
    <col min="13840" max="13840" width="13.28515625" style="108" customWidth="1"/>
    <col min="13841" max="13841" width="16.5703125" style="108" customWidth="1"/>
    <col min="13842" max="13842" width="13.7109375" style="108" customWidth="1"/>
    <col min="13843" max="13843" width="15.7109375" style="108" customWidth="1"/>
    <col min="13844" max="13844" width="12.5703125" style="108" customWidth="1"/>
    <col min="13845" max="13845" width="19.140625" style="108" customWidth="1"/>
    <col min="13846" max="13846" width="12.28515625" style="108" customWidth="1"/>
    <col min="13847" max="13847" width="17.140625" style="108" customWidth="1"/>
    <col min="13848" max="13848" width="12.5703125" style="108" customWidth="1"/>
    <col min="13849" max="13849" width="17.7109375" style="108" customWidth="1"/>
    <col min="13850" max="13850" width="12.140625" style="108" customWidth="1"/>
    <col min="13851" max="13851" width="30.5703125" style="108" customWidth="1"/>
    <col min="13852" max="13855" width="8.140625" style="108" customWidth="1"/>
    <col min="13856" max="13856" width="9.42578125" style="108" customWidth="1"/>
    <col min="13857" max="13857" width="8.140625" style="108" customWidth="1"/>
    <col min="13858" max="13862" width="7.85546875" style="108" customWidth="1"/>
    <col min="13863" max="13863" width="11.28515625" style="108" customWidth="1"/>
    <col min="13864" max="13864" width="2.28515625" style="108" customWidth="1"/>
    <col min="13865" max="13865" width="19.42578125" style="108"/>
    <col min="13866" max="13891" width="11.28515625" style="108" customWidth="1"/>
    <col min="13892" max="13903" width="8.85546875" style="108" customWidth="1"/>
    <col min="13904" max="14081" width="19.42578125" style="108"/>
    <col min="14082" max="14084" width="11" style="108" customWidth="1"/>
    <col min="14085" max="14085" width="16.140625" style="108" customWidth="1"/>
    <col min="14086" max="14086" width="12.42578125" style="108" customWidth="1"/>
    <col min="14087" max="14087" width="14.28515625" style="108" customWidth="1"/>
    <col min="14088" max="14088" width="12" style="108" customWidth="1"/>
    <col min="14089" max="14089" width="16.7109375" style="108" customWidth="1"/>
    <col min="14090" max="14090" width="12" style="108" customWidth="1"/>
    <col min="14091" max="14091" width="16.28515625" style="108" customWidth="1"/>
    <col min="14092" max="14092" width="12.28515625" style="108" customWidth="1"/>
    <col min="14093" max="14093" width="17.42578125" style="108" customWidth="1"/>
    <col min="14094" max="14094" width="12" style="108" customWidth="1"/>
    <col min="14095" max="14095" width="16.5703125" style="108" customWidth="1"/>
    <col min="14096" max="14096" width="13.28515625" style="108" customWidth="1"/>
    <col min="14097" max="14097" width="16.5703125" style="108" customWidth="1"/>
    <col min="14098" max="14098" width="13.7109375" style="108" customWidth="1"/>
    <col min="14099" max="14099" width="15.7109375" style="108" customWidth="1"/>
    <col min="14100" max="14100" width="12.5703125" style="108" customWidth="1"/>
    <col min="14101" max="14101" width="19.140625" style="108" customWidth="1"/>
    <col min="14102" max="14102" width="12.28515625" style="108" customWidth="1"/>
    <col min="14103" max="14103" width="17.140625" style="108" customWidth="1"/>
    <col min="14104" max="14104" width="12.5703125" style="108" customWidth="1"/>
    <col min="14105" max="14105" width="17.7109375" style="108" customWidth="1"/>
    <col min="14106" max="14106" width="12.140625" style="108" customWidth="1"/>
    <col min="14107" max="14107" width="30.5703125" style="108" customWidth="1"/>
    <col min="14108" max="14111" width="8.140625" style="108" customWidth="1"/>
    <col min="14112" max="14112" width="9.42578125" style="108" customWidth="1"/>
    <col min="14113" max="14113" width="8.140625" style="108" customWidth="1"/>
    <col min="14114" max="14118" width="7.85546875" style="108" customWidth="1"/>
    <col min="14119" max="14119" width="11.28515625" style="108" customWidth="1"/>
    <col min="14120" max="14120" width="2.28515625" style="108" customWidth="1"/>
    <col min="14121" max="14121" width="19.42578125" style="108"/>
    <col min="14122" max="14147" width="11.28515625" style="108" customWidth="1"/>
    <col min="14148" max="14159" width="8.85546875" style="108" customWidth="1"/>
    <col min="14160" max="14337" width="19.42578125" style="108"/>
    <col min="14338" max="14340" width="11" style="108" customWidth="1"/>
    <col min="14341" max="14341" width="16.140625" style="108" customWidth="1"/>
    <col min="14342" max="14342" width="12.42578125" style="108" customWidth="1"/>
    <col min="14343" max="14343" width="14.28515625" style="108" customWidth="1"/>
    <col min="14344" max="14344" width="12" style="108" customWidth="1"/>
    <col min="14345" max="14345" width="16.7109375" style="108" customWidth="1"/>
    <col min="14346" max="14346" width="12" style="108" customWidth="1"/>
    <col min="14347" max="14347" width="16.28515625" style="108" customWidth="1"/>
    <col min="14348" max="14348" width="12.28515625" style="108" customWidth="1"/>
    <col min="14349" max="14349" width="17.42578125" style="108" customWidth="1"/>
    <col min="14350" max="14350" width="12" style="108" customWidth="1"/>
    <col min="14351" max="14351" width="16.5703125" style="108" customWidth="1"/>
    <col min="14352" max="14352" width="13.28515625" style="108" customWidth="1"/>
    <col min="14353" max="14353" width="16.5703125" style="108" customWidth="1"/>
    <col min="14354" max="14354" width="13.7109375" style="108" customWidth="1"/>
    <col min="14355" max="14355" width="15.7109375" style="108" customWidth="1"/>
    <col min="14356" max="14356" width="12.5703125" style="108" customWidth="1"/>
    <col min="14357" max="14357" width="19.140625" style="108" customWidth="1"/>
    <col min="14358" max="14358" width="12.28515625" style="108" customWidth="1"/>
    <col min="14359" max="14359" width="17.140625" style="108" customWidth="1"/>
    <col min="14360" max="14360" width="12.5703125" style="108" customWidth="1"/>
    <col min="14361" max="14361" width="17.7109375" style="108" customWidth="1"/>
    <col min="14362" max="14362" width="12.140625" style="108" customWidth="1"/>
    <col min="14363" max="14363" width="30.5703125" style="108" customWidth="1"/>
    <col min="14364" max="14367" width="8.140625" style="108" customWidth="1"/>
    <col min="14368" max="14368" width="9.42578125" style="108" customWidth="1"/>
    <col min="14369" max="14369" width="8.140625" style="108" customWidth="1"/>
    <col min="14370" max="14374" width="7.85546875" style="108" customWidth="1"/>
    <col min="14375" max="14375" width="11.28515625" style="108" customWidth="1"/>
    <col min="14376" max="14376" width="2.28515625" style="108" customWidth="1"/>
    <col min="14377" max="14377" width="19.42578125" style="108"/>
    <col min="14378" max="14403" width="11.28515625" style="108" customWidth="1"/>
    <col min="14404" max="14415" width="8.85546875" style="108" customWidth="1"/>
    <col min="14416" max="14593" width="19.42578125" style="108"/>
    <col min="14594" max="14596" width="11" style="108" customWidth="1"/>
    <col min="14597" max="14597" width="16.140625" style="108" customWidth="1"/>
    <col min="14598" max="14598" width="12.42578125" style="108" customWidth="1"/>
    <col min="14599" max="14599" width="14.28515625" style="108" customWidth="1"/>
    <col min="14600" max="14600" width="12" style="108" customWidth="1"/>
    <col min="14601" max="14601" width="16.7109375" style="108" customWidth="1"/>
    <col min="14602" max="14602" width="12" style="108" customWidth="1"/>
    <col min="14603" max="14603" width="16.28515625" style="108" customWidth="1"/>
    <col min="14604" max="14604" width="12.28515625" style="108" customWidth="1"/>
    <col min="14605" max="14605" width="17.42578125" style="108" customWidth="1"/>
    <col min="14606" max="14606" width="12" style="108" customWidth="1"/>
    <col min="14607" max="14607" width="16.5703125" style="108" customWidth="1"/>
    <col min="14608" max="14608" width="13.28515625" style="108" customWidth="1"/>
    <col min="14609" max="14609" width="16.5703125" style="108" customWidth="1"/>
    <col min="14610" max="14610" width="13.7109375" style="108" customWidth="1"/>
    <col min="14611" max="14611" width="15.7109375" style="108" customWidth="1"/>
    <col min="14612" max="14612" width="12.5703125" style="108" customWidth="1"/>
    <col min="14613" max="14613" width="19.140625" style="108" customWidth="1"/>
    <col min="14614" max="14614" width="12.28515625" style="108" customWidth="1"/>
    <col min="14615" max="14615" width="17.140625" style="108" customWidth="1"/>
    <col min="14616" max="14616" width="12.5703125" style="108" customWidth="1"/>
    <col min="14617" max="14617" width="17.7109375" style="108" customWidth="1"/>
    <col min="14618" max="14618" width="12.140625" style="108" customWidth="1"/>
    <col min="14619" max="14619" width="30.5703125" style="108" customWidth="1"/>
    <col min="14620" max="14623" width="8.140625" style="108" customWidth="1"/>
    <col min="14624" max="14624" width="9.42578125" style="108" customWidth="1"/>
    <col min="14625" max="14625" width="8.140625" style="108" customWidth="1"/>
    <col min="14626" max="14630" width="7.85546875" style="108" customWidth="1"/>
    <col min="14631" max="14631" width="11.28515625" style="108" customWidth="1"/>
    <col min="14632" max="14632" width="2.28515625" style="108" customWidth="1"/>
    <col min="14633" max="14633" width="19.42578125" style="108"/>
    <col min="14634" max="14659" width="11.28515625" style="108" customWidth="1"/>
    <col min="14660" max="14671" width="8.85546875" style="108" customWidth="1"/>
    <col min="14672" max="14849" width="19.42578125" style="108"/>
    <col min="14850" max="14852" width="11" style="108" customWidth="1"/>
    <col min="14853" max="14853" width="16.140625" style="108" customWidth="1"/>
    <col min="14854" max="14854" width="12.42578125" style="108" customWidth="1"/>
    <col min="14855" max="14855" width="14.28515625" style="108" customWidth="1"/>
    <col min="14856" max="14856" width="12" style="108" customWidth="1"/>
    <col min="14857" max="14857" width="16.7109375" style="108" customWidth="1"/>
    <col min="14858" max="14858" width="12" style="108" customWidth="1"/>
    <col min="14859" max="14859" width="16.28515625" style="108" customWidth="1"/>
    <col min="14860" max="14860" width="12.28515625" style="108" customWidth="1"/>
    <col min="14861" max="14861" width="17.42578125" style="108" customWidth="1"/>
    <col min="14862" max="14862" width="12" style="108" customWidth="1"/>
    <col min="14863" max="14863" width="16.5703125" style="108" customWidth="1"/>
    <col min="14864" max="14864" width="13.28515625" style="108" customWidth="1"/>
    <col min="14865" max="14865" width="16.5703125" style="108" customWidth="1"/>
    <col min="14866" max="14866" width="13.7109375" style="108" customWidth="1"/>
    <col min="14867" max="14867" width="15.7109375" style="108" customWidth="1"/>
    <col min="14868" max="14868" width="12.5703125" style="108" customWidth="1"/>
    <col min="14869" max="14869" width="19.140625" style="108" customWidth="1"/>
    <col min="14870" max="14870" width="12.28515625" style="108" customWidth="1"/>
    <col min="14871" max="14871" width="17.140625" style="108" customWidth="1"/>
    <col min="14872" max="14872" width="12.5703125" style="108" customWidth="1"/>
    <col min="14873" max="14873" width="17.7109375" style="108" customWidth="1"/>
    <col min="14874" max="14874" width="12.140625" style="108" customWidth="1"/>
    <col min="14875" max="14875" width="30.5703125" style="108" customWidth="1"/>
    <col min="14876" max="14879" width="8.140625" style="108" customWidth="1"/>
    <col min="14880" max="14880" width="9.42578125" style="108" customWidth="1"/>
    <col min="14881" max="14881" width="8.140625" style="108" customWidth="1"/>
    <col min="14882" max="14886" width="7.85546875" style="108" customWidth="1"/>
    <col min="14887" max="14887" width="11.28515625" style="108" customWidth="1"/>
    <col min="14888" max="14888" width="2.28515625" style="108" customWidth="1"/>
    <col min="14889" max="14889" width="19.42578125" style="108"/>
    <col min="14890" max="14915" width="11.28515625" style="108" customWidth="1"/>
    <col min="14916" max="14927" width="8.85546875" style="108" customWidth="1"/>
    <col min="14928" max="15105" width="19.42578125" style="108"/>
    <col min="15106" max="15108" width="11" style="108" customWidth="1"/>
    <col min="15109" max="15109" width="16.140625" style="108" customWidth="1"/>
    <col min="15110" max="15110" width="12.42578125" style="108" customWidth="1"/>
    <col min="15111" max="15111" width="14.28515625" style="108" customWidth="1"/>
    <col min="15112" max="15112" width="12" style="108" customWidth="1"/>
    <col min="15113" max="15113" width="16.7109375" style="108" customWidth="1"/>
    <col min="15114" max="15114" width="12" style="108" customWidth="1"/>
    <col min="15115" max="15115" width="16.28515625" style="108" customWidth="1"/>
    <col min="15116" max="15116" width="12.28515625" style="108" customWidth="1"/>
    <col min="15117" max="15117" width="17.42578125" style="108" customWidth="1"/>
    <col min="15118" max="15118" width="12" style="108" customWidth="1"/>
    <col min="15119" max="15119" width="16.5703125" style="108" customWidth="1"/>
    <col min="15120" max="15120" width="13.28515625" style="108" customWidth="1"/>
    <col min="15121" max="15121" width="16.5703125" style="108" customWidth="1"/>
    <col min="15122" max="15122" width="13.7109375" style="108" customWidth="1"/>
    <col min="15123" max="15123" width="15.7109375" style="108" customWidth="1"/>
    <col min="15124" max="15124" width="12.5703125" style="108" customWidth="1"/>
    <col min="15125" max="15125" width="19.140625" style="108" customWidth="1"/>
    <col min="15126" max="15126" width="12.28515625" style="108" customWidth="1"/>
    <col min="15127" max="15127" width="17.140625" style="108" customWidth="1"/>
    <col min="15128" max="15128" width="12.5703125" style="108" customWidth="1"/>
    <col min="15129" max="15129" width="17.7109375" style="108" customWidth="1"/>
    <col min="15130" max="15130" width="12.140625" style="108" customWidth="1"/>
    <col min="15131" max="15131" width="30.5703125" style="108" customWidth="1"/>
    <col min="15132" max="15135" width="8.140625" style="108" customWidth="1"/>
    <col min="15136" max="15136" width="9.42578125" style="108" customWidth="1"/>
    <col min="15137" max="15137" width="8.140625" style="108" customWidth="1"/>
    <col min="15138" max="15142" width="7.85546875" style="108" customWidth="1"/>
    <col min="15143" max="15143" width="11.28515625" style="108" customWidth="1"/>
    <col min="15144" max="15144" width="2.28515625" style="108" customWidth="1"/>
    <col min="15145" max="15145" width="19.42578125" style="108"/>
    <col min="15146" max="15171" width="11.28515625" style="108" customWidth="1"/>
    <col min="15172" max="15183" width="8.85546875" style="108" customWidth="1"/>
    <col min="15184" max="15361" width="19.42578125" style="108"/>
    <col min="15362" max="15364" width="11" style="108" customWidth="1"/>
    <col min="15365" max="15365" width="16.140625" style="108" customWidth="1"/>
    <col min="15366" max="15366" width="12.42578125" style="108" customWidth="1"/>
    <col min="15367" max="15367" width="14.28515625" style="108" customWidth="1"/>
    <col min="15368" max="15368" width="12" style="108" customWidth="1"/>
    <col min="15369" max="15369" width="16.7109375" style="108" customWidth="1"/>
    <col min="15370" max="15370" width="12" style="108" customWidth="1"/>
    <col min="15371" max="15371" width="16.28515625" style="108" customWidth="1"/>
    <col min="15372" max="15372" width="12.28515625" style="108" customWidth="1"/>
    <col min="15373" max="15373" width="17.42578125" style="108" customWidth="1"/>
    <col min="15374" max="15374" width="12" style="108" customWidth="1"/>
    <col min="15375" max="15375" width="16.5703125" style="108" customWidth="1"/>
    <col min="15376" max="15376" width="13.28515625" style="108" customWidth="1"/>
    <col min="15377" max="15377" width="16.5703125" style="108" customWidth="1"/>
    <col min="15378" max="15378" width="13.7109375" style="108" customWidth="1"/>
    <col min="15379" max="15379" width="15.7109375" style="108" customWidth="1"/>
    <col min="15380" max="15380" width="12.5703125" style="108" customWidth="1"/>
    <col min="15381" max="15381" width="19.140625" style="108" customWidth="1"/>
    <col min="15382" max="15382" width="12.28515625" style="108" customWidth="1"/>
    <col min="15383" max="15383" width="17.140625" style="108" customWidth="1"/>
    <col min="15384" max="15384" width="12.5703125" style="108" customWidth="1"/>
    <col min="15385" max="15385" width="17.7109375" style="108" customWidth="1"/>
    <col min="15386" max="15386" width="12.140625" style="108" customWidth="1"/>
    <col min="15387" max="15387" width="30.5703125" style="108" customWidth="1"/>
    <col min="15388" max="15391" width="8.140625" style="108" customWidth="1"/>
    <col min="15392" max="15392" width="9.42578125" style="108" customWidth="1"/>
    <col min="15393" max="15393" width="8.140625" style="108" customWidth="1"/>
    <col min="15394" max="15398" width="7.85546875" style="108" customWidth="1"/>
    <col min="15399" max="15399" width="11.28515625" style="108" customWidth="1"/>
    <col min="15400" max="15400" width="2.28515625" style="108" customWidth="1"/>
    <col min="15401" max="15401" width="19.42578125" style="108"/>
    <col min="15402" max="15427" width="11.28515625" style="108" customWidth="1"/>
    <col min="15428" max="15439" width="8.85546875" style="108" customWidth="1"/>
    <col min="15440" max="15617" width="19.42578125" style="108"/>
    <col min="15618" max="15620" width="11" style="108" customWidth="1"/>
    <col min="15621" max="15621" width="16.140625" style="108" customWidth="1"/>
    <col min="15622" max="15622" width="12.42578125" style="108" customWidth="1"/>
    <col min="15623" max="15623" width="14.28515625" style="108" customWidth="1"/>
    <col min="15624" max="15624" width="12" style="108" customWidth="1"/>
    <col min="15625" max="15625" width="16.7109375" style="108" customWidth="1"/>
    <col min="15626" max="15626" width="12" style="108" customWidth="1"/>
    <col min="15627" max="15627" width="16.28515625" style="108" customWidth="1"/>
    <col min="15628" max="15628" width="12.28515625" style="108" customWidth="1"/>
    <col min="15629" max="15629" width="17.42578125" style="108" customWidth="1"/>
    <col min="15630" max="15630" width="12" style="108" customWidth="1"/>
    <col min="15631" max="15631" width="16.5703125" style="108" customWidth="1"/>
    <col min="15632" max="15632" width="13.28515625" style="108" customWidth="1"/>
    <col min="15633" max="15633" width="16.5703125" style="108" customWidth="1"/>
    <col min="15634" max="15634" width="13.7109375" style="108" customWidth="1"/>
    <col min="15635" max="15635" width="15.7109375" style="108" customWidth="1"/>
    <col min="15636" max="15636" width="12.5703125" style="108" customWidth="1"/>
    <col min="15637" max="15637" width="19.140625" style="108" customWidth="1"/>
    <col min="15638" max="15638" width="12.28515625" style="108" customWidth="1"/>
    <col min="15639" max="15639" width="17.140625" style="108" customWidth="1"/>
    <col min="15640" max="15640" width="12.5703125" style="108" customWidth="1"/>
    <col min="15641" max="15641" width="17.7109375" style="108" customWidth="1"/>
    <col min="15642" max="15642" width="12.140625" style="108" customWidth="1"/>
    <col min="15643" max="15643" width="30.5703125" style="108" customWidth="1"/>
    <col min="15644" max="15647" width="8.140625" style="108" customWidth="1"/>
    <col min="15648" max="15648" width="9.42578125" style="108" customWidth="1"/>
    <col min="15649" max="15649" width="8.140625" style="108" customWidth="1"/>
    <col min="15650" max="15654" width="7.85546875" style="108" customWidth="1"/>
    <col min="15655" max="15655" width="11.28515625" style="108" customWidth="1"/>
    <col min="15656" max="15656" width="2.28515625" style="108" customWidth="1"/>
    <col min="15657" max="15657" width="19.42578125" style="108"/>
    <col min="15658" max="15683" width="11.28515625" style="108" customWidth="1"/>
    <col min="15684" max="15695" width="8.85546875" style="108" customWidth="1"/>
    <col min="15696" max="15873" width="19.42578125" style="108"/>
    <col min="15874" max="15876" width="11" style="108" customWidth="1"/>
    <col min="15877" max="15877" width="16.140625" style="108" customWidth="1"/>
    <col min="15878" max="15878" width="12.42578125" style="108" customWidth="1"/>
    <col min="15879" max="15879" width="14.28515625" style="108" customWidth="1"/>
    <col min="15880" max="15880" width="12" style="108" customWidth="1"/>
    <col min="15881" max="15881" width="16.7109375" style="108" customWidth="1"/>
    <col min="15882" max="15882" width="12" style="108" customWidth="1"/>
    <col min="15883" max="15883" width="16.28515625" style="108" customWidth="1"/>
    <col min="15884" max="15884" width="12.28515625" style="108" customWidth="1"/>
    <col min="15885" max="15885" width="17.42578125" style="108" customWidth="1"/>
    <col min="15886" max="15886" width="12" style="108" customWidth="1"/>
    <col min="15887" max="15887" width="16.5703125" style="108" customWidth="1"/>
    <col min="15888" max="15888" width="13.28515625" style="108" customWidth="1"/>
    <col min="15889" max="15889" width="16.5703125" style="108" customWidth="1"/>
    <col min="15890" max="15890" width="13.7109375" style="108" customWidth="1"/>
    <col min="15891" max="15891" width="15.7109375" style="108" customWidth="1"/>
    <col min="15892" max="15892" width="12.5703125" style="108" customWidth="1"/>
    <col min="15893" max="15893" width="19.140625" style="108" customWidth="1"/>
    <col min="15894" max="15894" width="12.28515625" style="108" customWidth="1"/>
    <col min="15895" max="15895" width="17.140625" style="108" customWidth="1"/>
    <col min="15896" max="15896" width="12.5703125" style="108" customWidth="1"/>
    <col min="15897" max="15897" width="17.7109375" style="108" customWidth="1"/>
    <col min="15898" max="15898" width="12.140625" style="108" customWidth="1"/>
    <col min="15899" max="15899" width="30.5703125" style="108" customWidth="1"/>
    <col min="15900" max="15903" width="8.140625" style="108" customWidth="1"/>
    <col min="15904" max="15904" width="9.42578125" style="108" customWidth="1"/>
    <col min="15905" max="15905" width="8.140625" style="108" customWidth="1"/>
    <col min="15906" max="15910" width="7.85546875" style="108" customWidth="1"/>
    <col min="15911" max="15911" width="11.28515625" style="108" customWidth="1"/>
    <col min="15912" max="15912" width="2.28515625" style="108" customWidth="1"/>
    <col min="15913" max="15913" width="19.42578125" style="108"/>
    <col min="15914" max="15939" width="11.28515625" style="108" customWidth="1"/>
    <col min="15940" max="15951" width="8.85546875" style="108" customWidth="1"/>
    <col min="15952" max="16129" width="19.42578125" style="108"/>
    <col min="16130" max="16132" width="11" style="108" customWidth="1"/>
    <col min="16133" max="16133" width="16.140625" style="108" customWidth="1"/>
    <col min="16134" max="16134" width="12.42578125" style="108" customWidth="1"/>
    <col min="16135" max="16135" width="14.28515625" style="108" customWidth="1"/>
    <col min="16136" max="16136" width="12" style="108" customWidth="1"/>
    <col min="16137" max="16137" width="16.7109375" style="108" customWidth="1"/>
    <col min="16138" max="16138" width="12" style="108" customWidth="1"/>
    <col min="16139" max="16139" width="16.28515625" style="108" customWidth="1"/>
    <col min="16140" max="16140" width="12.28515625" style="108" customWidth="1"/>
    <col min="16141" max="16141" width="17.42578125" style="108" customWidth="1"/>
    <col min="16142" max="16142" width="12" style="108" customWidth="1"/>
    <col min="16143" max="16143" width="16.5703125" style="108" customWidth="1"/>
    <col min="16144" max="16144" width="13.28515625" style="108" customWidth="1"/>
    <col min="16145" max="16145" width="16.5703125" style="108" customWidth="1"/>
    <col min="16146" max="16146" width="13.7109375" style="108" customWidth="1"/>
    <col min="16147" max="16147" width="15.7109375" style="108" customWidth="1"/>
    <col min="16148" max="16148" width="12.5703125" style="108" customWidth="1"/>
    <col min="16149" max="16149" width="19.140625" style="108" customWidth="1"/>
    <col min="16150" max="16150" width="12.28515625" style="108" customWidth="1"/>
    <col min="16151" max="16151" width="17.140625" style="108" customWidth="1"/>
    <col min="16152" max="16152" width="12.5703125" style="108" customWidth="1"/>
    <col min="16153" max="16153" width="17.7109375" style="108" customWidth="1"/>
    <col min="16154" max="16154" width="12.140625" style="108" customWidth="1"/>
    <col min="16155" max="16155" width="30.5703125" style="108" customWidth="1"/>
    <col min="16156" max="16159" width="8.140625" style="108" customWidth="1"/>
    <col min="16160" max="16160" width="9.42578125" style="108" customWidth="1"/>
    <col min="16161" max="16161" width="8.140625" style="108" customWidth="1"/>
    <col min="16162" max="16166" width="7.85546875" style="108" customWidth="1"/>
    <col min="16167" max="16167" width="11.28515625" style="108" customWidth="1"/>
    <col min="16168" max="16168" width="2.28515625" style="108" customWidth="1"/>
    <col min="16169" max="16169" width="19.42578125" style="108"/>
    <col min="16170" max="16195" width="11.28515625" style="108" customWidth="1"/>
    <col min="16196" max="16207" width="8.85546875" style="108" customWidth="1"/>
    <col min="16208" max="16384" width="19.42578125" style="108"/>
  </cols>
  <sheetData>
    <row r="1" spans="1:79" ht="15.95" customHeight="1">
      <c r="A1" s="928" t="s">
        <v>0</v>
      </c>
      <c r="B1" s="928"/>
      <c r="C1" s="928"/>
      <c r="D1" s="928"/>
      <c r="E1" s="928"/>
      <c r="F1" s="928"/>
      <c r="G1" s="928"/>
      <c r="H1" s="928"/>
      <c r="I1" s="928"/>
      <c r="J1" s="928"/>
      <c r="K1" s="928"/>
      <c r="L1" s="928"/>
      <c r="M1" s="928"/>
      <c r="N1" s="928"/>
      <c r="O1" s="928"/>
      <c r="P1" s="928"/>
      <c r="Q1" s="928"/>
      <c r="R1" s="928"/>
      <c r="S1" s="928"/>
      <c r="T1" s="928"/>
      <c r="U1" s="928"/>
      <c r="V1" s="928"/>
      <c r="W1" s="928"/>
      <c r="X1" s="928"/>
      <c r="Y1" s="928"/>
      <c r="Z1" s="928"/>
      <c r="AA1" s="928"/>
      <c r="AB1" s="928"/>
      <c r="AC1" s="928"/>
      <c r="AD1" s="928"/>
      <c r="AE1" s="928"/>
      <c r="AF1" s="928"/>
      <c r="AG1" s="928"/>
      <c r="AH1" s="928"/>
      <c r="AI1" s="928"/>
      <c r="AJ1" s="928"/>
      <c r="AK1" s="928"/>
      <c r="AL1" s="928"/>
      <c r="AM1" s="928"/>
      <c r="AN1" s="928"/>
      <c r="AO1" s="928"/>
      <c r="AP1" s="928"/>
      <c r="AQ1" s="928"/>
      <c r="AR1" s="928"/>
      <c r="AS1" s="928"/>
      <c r="AT1" s="928"/>
      <c r="AU1" s="928"/>
      <c r="AV1" s="928"/>
      <c r="AW1" s="928"/>
      <c r="AX1" s="928"/>
      <c r="AY1" s="928"/>
      <c r="AZ1" s="928"/>
      <c r="BA1" s="928"/>
      <c r="BB1" s="928"/>
      <c r="BC1" s="928"/>
      <c r="BD1" s="928"/>
      <c r="BE1" s="928"/>
      <c r="BF1" s="928"/>
      <c r="BG1" s="928"/>
      <c r="BH1" s="928"/>
      <c r="BI1" s="928"/>
      <c r="BJ1" s="928"/>
      <c r="BK1" s="928"/>
      <c r="BL1" s="928"/>
      <c r="BM1" s="928"/>
      <c r="BN1" s="928"/>
      <c r="BO1" s="928"/>
      <c r="BP1" s="928"/>
      <c r="BQ1" s="928"/>
      <c r="BR1" s="928"/>
      <c r="BS1" s="928"/>
      <c r="BT1" s="928"/>
      <c r="BU1" s="928"/>
      <c r="BV1" s="928"/>
      <c r="BW1" s="928"/>
      <c r="BX1" s="928"/>
      <c r="BY1" s="929" t="s">
        <v>1</v>
      </c>
      <c r="BZ1" s="929"/>
      <c r="CA1" s="929"/>
    </row>
    <row r="2" spans="1:79" ht="15.95" customHeight="1">
      <c r="A2" s="928" t="s">
        <v>2</v>
      </c>
      <c r="B2" s="928"/>
      <c r="C2" s="928"/>
      <c r="D2" s="928"/>
      <c r="E2" s="928"/>
      <c r="F2" s="928"/>
      <c r="G2" s="928"/>
      <c r="H2" s="928"/>
      <c r="I2" s="928"/>
      <c r="J2" s="928"/>
      <c r="K2" s="928"/>
      <c r="L2" s="928"/>
      <c r="M2" s="928"/>
      <c r="N2" s="928"/>
      <c r="O2" s="928"/>
      <c r="P2" s="928"/>
      <c r="Q2" s="928"/>
      <c r="R2" s="928"/>
      <c r="S2" s="928"/>
      <c r="T2" s="928"/>
      <c r="U2" s="928"/>
      <c r="V2" s="928"/>
      <c r="W2" s="928"/>
      <c r="X2" s="928"/>
      <c r="Y2" s="928"/>
      <c r="Z2" s="928"/>
      <c r="AA2" s="928"/>
      <c r="AB2" s="928"/>
      <c r="AC2" s="928"/>
      <c r="AD2" s="928"/>
      <c r="AE2" s="928"/>
      <c r="AF2" s="928"/>
      <c r="AG2" s="928"/>
      <c r="AH2" s="928"/>
      <c r="AI2" s="928"/>
      <c r="AJ2" s="928"/>
      <c r="AK2" s="928"/>
      <c r="AL2" s="928"/>
      <c r="AM2" s="928"/>
      <c r="AN2" s="928"/>
      <c r="AO2" s="928"/>
      <c r="AP2" s="928"/>
      <c r="AQ2" s="928"/>
      <c r="AR2" s="928"/>
      <c r="AS2" s="928"/>
      <c r="AT2" s="928"/>
      <c r="AU2" s="928"/>
      <c r="AV2" s="928"/>
      <c r="AW2" s="928"/>
      <c r="AX2" s="928"/>
      <c r="AY2" s="928"/>
      <c r="AZ2" s="928"/>
      <c r="BA2" s="928"/>
      <c r="BB2" s="928"/>
      <c r="BC2" s="928"/>
      <c r="BD2" s="928"/>
      <c r="BE2" s="928"/>
      <c r="BF2" s="928"/>
      <c r="BG2" s="928"/>
      <c r="BH2" s="928"/>
      <c r="BI2" s="928"/>
      <c r="BJ2" s="928"/>
      <c r="BK2" s="928"/>
      <c r="BL2" s="928"/>
      <c r="BM2" s="928"/>
      <c r="BN2" s="928"/>
      <c r="BO2" s="928"/>
      <c r="BP2" s="928"/>
      <c r="BQ2" s="928"/>
      <c r="BR2" s="928"/>
      <c r="BS2" s="928"/>
      <c r="BT2" s="928"/>
      <c r="BU2" s="928"/>
      <c r="BV2" s="928"/>
      <c r="BW2" s="928"/>
      <c r="BX2" s="928"/>
      <c r="BY2" s="929" t="s">
        <v>3</v>
      </c>
      <c r="BZ2" s="929"/>
      <c r="CA2" s="929"/>
    </row>
    <row r="3" spans="1:79" ht="26.1" customHeight="1">
      <c r="A3" s="928" t="s">
        <v>242</v>
      </c>
      <c r="B3" s="928"/>
      <c r="C3" s="928"/>
      <c r="D3" s="928"/>
      <c r="E3" s="928"/>
      <c r="F3" s="928"/>
      <c r="G3" s="928"/>
      <c r="H3" s="928"/>
      <c r="I3" s="928"/>
      <c r="J3" s="928"/>
      <c r="K3" s="928"/>
      <c r="L3" s="928"/>
      <c r="M3" s="928"/>
      <c r="N3" s="928"/>
      <c r="O3" s="928"/>
      <c r="P3" s="928"/>
      <c r="Q3" s="928"/>
      <c r="R3" s="928"/>
      <c r="S3" s="928"/>
      <c r="T3" s="928"/>
      <c r="U3" s="928"/>
      <c r="V3" s="928"/>
      <c r="W3" s="928"/>
      <c r="X3" s="928"/>
      <c r="Y3" s="928"/>
      <c r="Z3" s="928"/>
      <c r="AA3" s="928"/>
      <c r="AB3" s="928"/>
      <c r="AC3" s="928"/>
      <c r="AD3" s="928"/>
      <c r="AE3" s="928"/>
      <c r="AF3" s="928"/>
      <c r="AG3" s="928"/>
      <c r="AH3" s="928"/>
      <c r="AI3" s="928"/>
      <c r="AJ3" s="928"/>
      <c r="AK3" s="928"/>
      <c r="AL3" s="928"/>
      <c r="AM3" s="928"/>
      <c r="AN3" s="928"/>
      <c r="AO3" s="928"/>
      <c r="AP3" s="928"/>
      <c r="AQ3" s="928"/>
      <c r="AR3" s="928"/>
      <c r="AS3" s="928"/>
      <c r="AT3" s="928"/>
      <c r="AU3" s="928"/>
      <c r="AV3" s="928"/>
      <c r="AW3" s="928"/>
      <c r="AX3" s="928"/>
      <c r="AY3" s="928"/>
      <c r="AZ3" s="928"/>
      <c r="BA3" s="928"/>
      <c r="BB3" s="928"/>
      <c r="BC3" s="928"/>
      <c r="BD3" s="928"/>
      <c r="BE3" s="928"/>
      <c r="BF3" s="928"/>
      <c r="BG3" s="928"/>
      <c r="BH3" s="928"/>
      <c r="BI3" s="928"/>
      <c r="BJ3" s="928"/>
      <c r="BK3" s="928"/>
      <c r="BL3" s="928"/>
      <c r="BM3" s="928"/>
      <c r="BN3" s="928"/>
      <c r="BO3" s="928"/>
      <c r="BP3" s="928"/>
      <c r="BQ3" s="928"/>
      <c r="BR3" s="928"/>
      <c r="BS3" s="928"/>
      <c r="BT3" s="928"/>
      <c r="BU3" s="928"/>
      <c r="BV3" s="928"/>
      <c r="BW3" s="928"/>
      <c r="BX3" s="928"/>
      <c r="BY3" s="929" t="s">
        <v>5</v>
      </c>
      <c r="BZ3" s="929"/>
      <c r="CA3" s="929"/>
    </row>
    <row r="4" spans="1:79" ht="15.95" customHeight="1">
      <c r="A4" s="928" t="s">
        <v>243</v>
      </c>
      <c r="B4" s="928"/>
      <c r="C4" s="928"/>
      <c r="D4" s="928"/>
      <c r="E4" s="928"/>
      <c r="F4" s="928"/>
      <c r="G4" s="928"/>
      <c r="H4" s="928"/>
      <c r="I4" s="928"/>
      <c r="J4" s="928"/>
      <c r="K4" s="928"/>
      <c r="L4" s="928"/>
      <c r="M4" s="928"/>
      <c r="N4" s="928"/>
      <c r="O4" s="928"/>
      <c r="P4" s="928"/>
      <c r="Q4" s="928"/>
      <c r="R4" s="928"/>
      <c r="S4" s="928"/>
      <c r="T4" s="928"/>
      <c r="U4" s="928"/>
      <c r="V4" s="928"/>
      <c r="W4" s="928"/>
      <c r="X4" s="928"/>
      <c r="Y4" s="928"/>
      <c r="Z4" s="928"/>
      <c r="AA4" s="928"/>
      <c r="AB4" s="928"/>
      <c r="AC4" s="928"/>
      <c r="AD4" s="928"/>
      <c r="AE4" s="928"/>
      <c r="AF4" s="928"/>
      <c r="AG4" s="928"/>
      <c r="AH4" s="928"/>
      <c r="AI4" s="928"/>
      <c r="AJ4" s="928"/>
      <c r="AK4" s="928"/>
      <c r="AL4" s="928"/>
      <c r="AM4" s="928"/>
      <c r="AN4" s="928"/>
      <c r="AO4" s="928"/>
      <c r="AP4" s="928"/>
      <c r="AQ4" s="928"/>
      <c r="AR4" s="928"/>
      <c r="AS4" s="928"/>
      <c r="AT4" s="928"/>
      <c r="AU4" s="928"/>
      <c r="AV4" s="928"/>
      <c r="AW4" s="928"/>
      <c r="AX4" s="928"/>
      <c r="AY4" s="928"/>
      <c r="AZ4" s="928"/>
      <c r="BA4" s="928"/>
      <c r="BB4" s="928"/>
      <c r="BC4" s="928"/>
      <c r="BD4" s="928"/>
      <c r="BE4" s="928"/>
      <c r="BF4" s="928"/>
      <c r="BG4" s="928"/>
      <c r="BH4" s="928"/>
      <c r="BI4" s="928"/>
      <c r="BJ4" s="928"/>
      <c r="BK4" s="928"/>
      <c r="BL4" s="928"/>
      <c r="BM4" s="928"/>
      <c r="BN4" s="928"/>
      <c r="BO4" s="928"/>
      <c r="BP4" s="928"/>
      <c r="BQ4" s="928"/>
      <c r="BR4" s="928"/>
      <c r="BS4" s="928"/>
      <c r="BT4" s="928"/>
      <c r="BU4" s="928"/>
      <c r="BV4" s="928"/>
      <c r="BW4" s="928"/>
      <c r="BX4" s="928"/>
      <c r="BY4" s="930" t="s">
        <v>244</v>
      </c>
      <c r="BZ4" s="931"/>
      <c r="CA4" s="932"/>
    </row>
    <row r="5" spans="1:79" ht="26.1" customHeight="1">
      <c r="A5" s="933" t="s">
        <v>133</v>
      </c>
      <c r="B5" s="933"/>
      <c r="C5" s="933"/>
      <c r="D5" s="933"/>
      <c r="E5" s="933"/>
      <c r="F5" s="933"/>
      <c r="G5" s="933"/>
      <c r="H5" s="933"/>
      <c r="I5" s="933"/>
      <c r="J5" s="933"/>
      <c r="K5" s="933"/>
      <c r="L5" s="933"/>
      <c r="M5" s="933"/>
      <c r="N5" s="933"/>
      <c r="O5" s="933"/>
      <c r="P5" s="933"/>
      <c r="Q5" s="933"/>
      <c r="R5" s="933"/>
      <c r="S5" s="933"/>
      <c r="T5" s="933"/>
      <c r="U5" s="933"/>
      <c r="V5" s="933"/>
      <c r="W5" s="933"/>
      <c r="X5" s="933"/>
      <c r="Y5" s="933"/>
      <c r="Z5" s="933"/>
      <c r="AA5" s="933"/>
      <c r="AB5" s="933"/>
      <c r="AC5" s="933"/>
      <c r="AD5" s="933"/>
      <c r="AE5" s="933"/>
      <c r="AF5" s="933"/>
      <c r="AG5" s="933"/>
      <c r="AH5" s="933"/>
      <c r="AI5" s="933"/>
      <c r="AJ5" s="933"/>
      <c r="AK5" s="933"/>
      <c r="AL5" s="933"/>
      <c r="AM5" s="933"/>
      <c r="AO5" s="933" t="s">
        <v>245</v>
      </c>
      <c r="AP5" s="933"/>
      <c r="AQ5" s="933"/>
      <c r="AR5" s="933"/>
      <c r="AS5" s="933"/>
      <c r="AT5" s="933"/>
      <c r="AU5" s="933"/>
      <c r="AV5" s="933"/>
      <c r="AW5" s="933"/>
      <c r="AX5" s="933"/>
      <c r="AY5" s="933"/>
      <c r="AZ5" s="933"/>
      <c r="BA5" s="933"/>
      <c r="BB5" s="933"/>
      <c r="BC5" s="933"/>
      <c r="BD5" s="933"/>
      <c r="BE5" s="933"/>
      <c r="BF5" s="933"/>
      <c r="BG5" s="933"/>
      <c r="BH5" s="933"/>
      <c r="BI5" s="933"/>
      <c r="BJ5" s="933"/>
      <c r="BK5" s="933"/>
      <c r="BL5" s="933"/>
      <c r="BM5" s="933"/>
      <c r="BN5" s="933"/>
      <c r="BO5" s="933"/>
      <c r="BP5" s="933"/>
      <c r="BQ5" s="933"/>
      <c r="BR5" s="933"/>
      <c r="BS5" s="933"/>
      <c r="BT5" s="933"/>
      <c r="BU5" s="933"/>
      <c r="BV5" s="933"/>
      <c r="BW5" s="933"/>
      <c r="BX5" s="933"/>
      <c r="BY5" s="934"/>
      <c r="BZ5" s="934"/>
      <c r="CA5" s="934"/>
    </row>
    <row r="6" spans="1:79" ht="28.5">
      <c r="A6" s="150" t="s">
        <v>246</v>
      </c>
      <c r="B6" s="935"/>
      <c r="C6" s="935"/>
      <c r="D6" s="935"/>
      <c r="E6" s="935"/>
      <c r="F6" s="935"/>
      <c r="G6" s="935"/>
      <c r="H6" s="935"/>
      <c r="I6" s="935"/>
      <c r="J6" s="935"/>
      <c r="K6" s="935"/>
      <c r="L6" s="935"/>
      <c r="M6" s="935"/>
      <c r="N6" s="935"/>
      <c r="O6" s="935"/>
      <c r="P6" s="935"/>
      <c r="Q6" s="935"/>
      <c r="R6" s="935"/>
      <c r="S6" s="935"/>
      <c r="T6" s="935"/>
      <c r="U6" s="935"/>
      <c r="V6" s="935"/>
      <c r="W6" s="935"/>
      <c r="X6" s="935"/>
      <c r="Y6" s="935"/>
      <c r="Z6" s="935"/>
      <c r="AA6" s="935"/>
      <c r="AB6" s="935"/>
      <c r="AC6" s="935"/>
      <c r="AD6" s="935"/>
      <c r="AE6" s="935"/>
      <c r="AF6" s="935"/>
      <c r="AG6" s="935"/>
      <c r="AH6" s="935"/>
      <c r="AI6" s="935"/>
      <c r="AJ6" s="935"/>
      <c r="AK6" s="935"/>
      <c r="AL6" s="935"/>
      <c r="AM6" s="935"/>
      <c r="AN6" s="935"/>
      <c r="AO6" s="935"/>
      <c r="AP6" s="935"/>
      <c r="AQ6" s="935"/>
      <c r="AR6" s="935"/>
      <c r="AS6" s="935"/>
      <c r="AT6" s="935"/>
      <c r="AU6" s="935"/>
      <c r="AV6" s="935"/>
      <c r="AW6" s="935"/>
      <c r="AX6" s="935"/>
      <c r="AY6" s="935"/>
      <c r="AZ6" s="935"/>
      <c r="BA6" s="935"/>
      <c r="BB6" s="935"/>
      <c r="BC6" s="935"/>
      <c r="BD6" s="935"/>
      <c r="BE6" s="935"/>
      <c r="BF6" s="935"/>
      <c r="BG6" s="935"/>
      <c r="BH6" s="935"/>
      <c r="BI6" s="935"/>
      <c r="BJ6" s="935"/>
      <c r="BK6" s="935"/>
      <c r="BL6" s="935"/>
      <c r="BM6" s="935"/>
      <c r="BN6" s="935"/>
      <c r="BO6" s="935"/>
      <c r="BP6" s="935"/>
      <c r="BQ6" s="935"/>
      <c r="BR6" s="935"/>
      <c r="BS6" s="935"/>
      <c r="BT6" s="935"/>
      <c r="BU6" s="935"/>
      <c r="BV6" s="935"/>
      <c r="BW6" s="935"/>
      <c r="BX6" s="935"/>
      <c r="BY6" s="935"/>
      <c r="BZ6" s="935"/>
      <c r="CA6" s="935"/>
    </row>
    <row r="7" spans="1:79" ht="29.1" customHeight="1">
      <c r="A7" s="151" t="s">
        <v>247</v>
      </c>
      <c r="B7" s="926" t="s">
        <v>23</v>
      </c>
      <c r="C7" s="927"/>
      <c r="D7" s="927"/>
      <c r="E7" s="927"/>
      <c r="F7" s="927"/>
      <c r="G7" s="927"/>
      <c r="H7" s="927"/>
      <c r="I7" s="927"/>
      <c r="J7" s="927"/>
      <c r="K7" s="927"/>
      <c r="L7" s="927"/>
      <c r="M7" s="927"/>
      <c r="N7" s="927"/>
      <c r="O7" s="927"/>
      <c r="P7" s="927"/>
      <c r="Q7" s="927"/>
      <c r="R7" s="927"/>
      <c r="S7" s="927"/>
      <c r="T7" s="927"/>
      <c r="U7" s="927"/>
      <c r="V7" s="927"/>
      <c r="W7" s="927"/>
      <c r="X7" s="927"/>
      <c r="Y7" s="927"/>
      <c r="Z7" s="927"/>
      <c r="AA7" s="927"/>
      <c r="AB7" s="927"/>
      <c r="AC7" s="927"/>
      <c r="AD7" s="927"/>
      <c r="AE7" s="927"/>
      <c r="AF7" s="927"/>
      <c r="AG7" s="927"/>
      <c r="AH7" s="927"/>
      <c r="AI7" s="927"/>
      <c r="AJ7" s="927"/>
      <c r="AK7" s="927"/>
      <c r="AL7" s="927"/>
      <c r="AM7" s="927"/>
      <c r="AN7" s="927"/>
      <c r="AO7" s="927"/>
      <c r="AP7" s="927"/>
      <c r="AQ7" s="927"/>
      <c r="AR7" s="927"/>
      <c r="AS7" s="927"/>
      <c r="AT7" s="927"/>
      <c r="AU7" s="927"/>
      <c r="AV7" s="927"/>
      <c r="AW7" s="927"/>
      <c r="AX7" s="927"/>
      <c r="AY7" s="927"/>
      <c r="AZ7" s="927"/>
      <c r="BA7" s="927"/>
      <c r="BB7" s="927"/>
      <c r="BC7" s="927"/>
      <c r="BD7" s="927"/>
      <c r="BE7" s="927"/>
      <c r="BF7" s="927"/>
      <c r="BG7" s="927"/>
      <c r="BH7" s="927"/>
      <c r="BI7" s="927"/>
      <c r="BJ7" s="927"/>
      <c r="BK7" s="927"/>
      <c r="BL7" s="927"/>
      <c r="BM7" s="927"/>
      <c r="BN7" s="927"/>
      <c r="BO7" s="927"/>
      <c r="BP7" s="927"/>
      <c r="BQ7" s="927"/>
      <c r="BR7" s="927"/>
      <c r="BS7" s="927"/>
      <c r="BT7" s="927"/>
      <c r="BU7" s="927"/>
      <c r="BV7" s="927"/>
      <c r="BW7" s="927"/>
      <c r="BX7" s="927"/>
      <c r="BY7" s="927"/>
      <c r="BZ7" s="927"/>
      <c r="CA7" s="785"/>
    </row>
    <row r="8" spans="1:79" ht="6" customHeight="1">
      <c r="A8" s="141"/>
      <c r="B8" s="141"/>
      <c r="C8" s="141"/>
      <c r="D8" s="141"/>
      <c r="E8" s="141"/>
      <c r="F8" s="141"/>
      <c r="G8" s="141"/>
      <c r="H8" s="141"/>
      <c r="I8" s="141"/>
      <c r="J8" s="141"/>
      <c r="K8" s="141"/>
      <c r="L8" s="141"/>
      <c r="M8" s="141"/>
      <c r="N8" s="141"/>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O8" s="141"/>
      <c r="AP8" s="142"/>
      <c r="AQ8" s="142"/>
      <c r="AR8" s="142"/>
      <c r="AS8" s="142"/>
      <c r="AT8" s="142"/>
      <c r="AU8" s="142"/>
      <c r="AV8" s="142"/>
      <c r="AW8" s="142"/>
      <c r="AX8" s="142"/>
      <c r="AY8" s="142"/>
      <c r="AZ8" s="142"/>
      <c r="BA8" s="142"/>
    </row>
    <row r="9" spans="1:79" ht="30" customHeight="1">
      <c r="A9" s="920" t="s">
        <v>248</v>
      </c>
      <c r="B9" s="917" t="s">
        <v>29</v>
      </c>
      <c r="C9" s="919"/>
      <c r="D9" s="917" t="s">
        <v>30</v>
      </c>
      <c r="E9" s="919"/>
      <c r="F9" s="917" t="s">
        <v>31</v>
      </c>
      <c r="G9" s="919"/>
      <c r="H9" s="917" t="s">
        <v>32</v>
      </c>
      <c r="I9" s="919"/>
      <c r="J9" s="917" t="s">
        <v>33</v>
      </c>
      <c r="K9" s="919"/>
      <c r="L9" s="917" t="s">
        <v>34</v>
      </c>
      <c r="M9" s="919"/>
      <c r="N9" s="917" t="s">
        <v>35</v>
      </c>
      <c r="O9" s="919"/>
      <c r="P9" s="917" t="s">
        <v>36</v>
      </c>
      <c r="Q9" s="919"/>
      <c r="R9" s="917" t="s">
        <v>37</v>
      </c>
      <c r="S9" s="919"/>
      <c r="T9" s="917" t="s">
        <v>38</v>
      </c>
      <c r="U9" s="919"/>
      <c r="V9" s="917" t="s">
        <v>39</v>
      </c>
      <c r="W9" s="919"/>
      <c r="X9" s="917" t="s">
        <v>40</v>
      </c>
      <c r="Y9" s="919"/>
      <c r="Z9" s="917" t="s">
        <v>249</v>
      </c>
      <c r="AA9" s="919"/>
      <c r="AB9" s="917" t="s">
        <v>250</v>
      </c>
      <c r="AC9" s="918"/>
      <c r="AD9" s="918"/>
      <c r="AE9" s="918"/>
      <c r="AF9" s="918"/>
      <c r="AG9" s="919"/>
      <c r="AH9" s="917" t="s">
        <v>251</v>
      </c>
      <c r="AI9" s="918"/>
      <c r="AJ9" s="918"/>
      <c r="AK9" s="918"/>
      <c r="AL9" s="918"/>
      <c r="AM9" s="919"/>
      <c r="AO9" s="920" t="s">
        <v>248</v>
      </c>
      <c r="AP9" s="917" t="s">
        <v>29</v>
      </c>
      <c r="AQ9" s="919"/>
      <c r="AR9" s="917" t="s">
        <v>30</v>
      </c>
      <c r="AS9" s="919"/>
      <c r="AT9" s="917" t="s">
        <v>31</v>
      </c>
      <c r="AU9" s="919"/>
      <c r="AV9" s="917" t="s">
        <v>32</v>
      </c>
      <c r="AW9" s="919"/>
      <c r="AX9" s="917" t="s">
        <v>33</v>
      </c>
      <c r="AY9" s="919"/>
      <c r="AZ9" s="917" t="s">
        <v>34</v>
      </c>
      <c r="BA9" s="919"/>
      <c r="BB9" s="917" t="s">
        <v>35</v>
      </c>
      <c r="BC9" s="919"/>
      <c r="BD9" s="917" t="s">
        <v>36</v>
      </c>
      <c r="BE9" s="919"/>
      <c r="BF9" s="917" t="s">
        <v>37</v>
      </c>
      <c r="BG9" s="919"/>
      <c r="BH9" s="917" t="s">
        <v>38</v>
      </c>
      <c r="BI9" s="919"/>
      <c r="BJ9" s="917" t="s">
        <v>39</v>
      </c>
      <c r="BK9" s="919"/>
      <c r="BL9" s="917" t="s">
        <v>40</v>
      </c>
      <c r="BM9" s="919"/>
      <c r="BN9" s="917" t="s">
        <v>249</v>
      </c>
      <c r="BO9" s="919"/>
      <c r="BP9" s="917" t="s">
        <v>250</v>
      </c>
      <c r="BQ9" s="918"/>
      <c r="BR9" s="918"/>
      <c r="BS9" s="918"/>
      <c r="BT9" s="918"/>
      <c r="BU9" s="919"/>
      <c r="BV9" s="917" t="s">
        <v>251</v>
      </c>
      <c r="BW9" s="918"/>
      <c r="BX9" s="918"/>
      <c r="BY9" s="918"/>
      <c r="BZ9" s="918"/>
      <c r="CA9" s="919"/>
    </row>
    <row r="10" spans="1:79" ht="36" customHeight="1">
      <c r="A10" s="921"/>
      <c r="B10" s="181" t="s">
        <v>252</v>
      </c>
      <c r="C10" s="181" t="s">
        <v>253</v>
      </c>
      <c r="D10" s="181" t="s">
        <v>252</v>
      </c>
      <c r="E10" s="181" t="s">
        <v>253</v>
      </c>
      <c r="F10" s="181" t="s">
        <v>252</v>
      </c>
      <c r="G10" s="181" t="s">
        <v>253</v>
      </c>
      <c r="H10" s="181" t="s">
        <v>252</v>
      </c>
      <c r="I10" s="181" t="s">
        <v>253</v>
      </c>
      <c r="J10" s="181" t="s">
        <v>252</v>
      </c>
      <c r="K10" s="181" t="s">
        <v>253</v>
      </c>
      <c r="L10" s="181" t="s">
        <v>252</v>
      </c>
      <c r="M10" s="181" t="s">
        <v>253</v>
      </c>
      <c r="N10" s="181" t="s">
        <v>252</v>
      </c>
      <c r="O10" s="181" t="s">
        <v>253</v>
      </c>
      <c r="P10" s="181" t="s">
        <v>252</v>
      </c>
      <c r="Q10" s="181" t="s">
        <v>253</v>
      </c>
      <c r="R10" s="181" t="s">
        <v>252</v>
      </c>
      <c r="S10" s="181" t="s">
        <v>253</v>
      </c>
      <c r="T10" s="181" t="s">
        <v>252</v>
      </c>
      <c r="U10" s="181" t="s">
        <v>253</v>
      </c>
      <c r="V10" s="181" t="s">
        <v>252</v>
      </c>
      <c r="W10" s="181" t="s">
        <v>253</v>
      </c>
      <c r="X10" s="181" t="s">
        <v>252</v>
      </c>
      <c r="Y10" s="181" t="s">
        <v>253</v>
      </c>
      <c r="Z10" s="181" t="s">
        <v>252</v>
      </c>
      <c r="AA10" s="403" t="s">
        <v>253</v>
      </c>
      <c r="AB10" s="174" t="s">
        <v>254</v>
      </c>
      <c r="AC10" s="174" t="s">
        <v>255</v>
      </c>
      <c r="AD10" s="174" t="s">
        <v>256</v>
      </c>
      <c r="AE10" s="174" t="s">
        <v>257</v>
      </c>
      <c r="AF10" s="175" t="s">
        <v>258</v>
      </c>
      <c r="AG10" s="174" t="s">
        <v>259</v>
      </c>
      <c r="AH10" s="181" t="s">
        <v>260</v>
      </c>
      <c r="AI10" s="143" t="s">
        <v>261</v>
      </c>
      <c r="AJ10" s="181" t="s">
        <v>262</v>
      </c>
      <c r="AK10" s="181" t="s">
        <v>263</v>
      </c>
      <c r="AL10" s="181" t="s">
        <v>264</v>
      </c>
      <c r="AM10" s="181" t="s">
        <v>265</v>
      </c>
      <c r="AO10" s="921"/>
      <c r="AP10" s="181" t="s">
        <v>252</v>
      </c>
      <c r="AQ10" s="181" t="s">
        <v>253</v>
      </c>
      <c r="AR10" s="181" t="s">
        <v>252</v>
      </c>
      <c r="AS10" s="181" t="s">
        <v>253</v>
      </c>
      <c r="AT10" s="181" t="s">
        <v>252</v>
      </c>
      <c r="AU10" s="181" t="s">
        <v>253</v>
      </c>
      <c r="AV10" s="181" t="s">
        <v>252</v>
      </c>
      <c r="AW10" s="181" t="s">
        <v>253</v>
      </c>
      <c r="AX10" s="181" t="s">
        <v>252</v>
      </c>
      <c r="AY10" s="181" t="s">
        <v>253</v>
      </c>
      <c r="AZ10" s="181" t="s">
        <v>252</v>
      </c>
      <c r="BA10" s="181" t="s">
        <v>253</v>
      </c>
      <c r="BB10" s="181" t="s">
        <v>252</v>
      </c>
      <c r="BC10" s="181" t="s">
        <v>253</v>
      </c>
      <c r="BD10" s="181" t="s">
        <v>252</v>
      </c>
      <c r="BE10" s="181" t="s">
        <v>253</v>
      </c>
      <c r="BF10" s="181" t="s">
        <v>252</v>
      </c>
      <c r="BG10" s="181" t="s">
        <v>253</v>
      </c>
      <c r="BH10" s="181" t="s">
        <v>252</v>
      </c>
      <c r="BI10" s="181" t="s">
        <v>253</v>
      </c>
      <c r="BJ10" s="181" t="s">
        <v>252</v>
      </c>
      <c r="BK10" s="181" t="s">
        <v>253</v>
      </c>
      <c r="BL10" s="181" t="s">
        <v>252</v>
      </c>
      <c r="BM10" s="181" t="s">
        <v>253</v>
      </c>
      <c r="BN10" s="181" t="s">
        <v>252</v>
      </c>
      <c r="BO10" s="181" t="s">
        <v>253</v>
      </c>
      <c r="BP10" s="174" t="s">
        <v>254</v>
      </c>
      <c r="BQ10" s="174" t="s">
        <v>255</v>
      </c>
      <c r="BR10" s="174" t="s">
        <v>256</v>
      </c>
      <c r="BS10" s="174" t="s">
        <v>257</v>
      </c>
      <c r="BT10" s="175" t="s">
        <v>258</v>
      </c>
      <c r="BU10" s="174" t="s">
        <v>259</v>
      </c>
      <c r="BV10" s="172" t="s">
        <v>260</v>
      </c>
      <c r="BW10" s="173" t="s">
        <v>261</v>
      </c>
      <c r="BX10" s="172" t="s">
        <v>262</v>
      </c>
      <c r="BY10" s="172" t="s">
        <v>263</v>
      </c>
      <c r="BZ10" s="172" t="s">
        <v>264</v>
      </c>
      <c r="CA10" s="172" t="s">
        <v>265</v>
      </c>
    </row>
    <row r="11" spans="1:79">
      <c r="A11" s="144" t="s">
        <v>266</v>
      </c>
      <c r="B11" s="144">
        <v>0</v>
      </c>
      <c r="C11" s="425">
        <v>0</v>
      </c>
      <c r="D11" s="144">
        <v>0</v>
      </c>
      <c r="E11" s="425">
        <v>0</v>
      </c>
      <c r="F11" s="144">
        <v>0</v>
      </c>
      <c r="G11" s="425">
        <v>0</v>
      </c>
      <c r="H11" s="144">
        <v>0</v>
      </c>
      <c r="I11" s="425">
        <v>0</v>
      </c>
      <c r="J11" s="144">
        <v>0</v>
      </c>
      <c r="K11" s="425">
        <v>0</v>
      </c>
      <c r="L11" s="144">
        <v>0</v>
      </c>
      <c r="M11" s="425">
        <v>0</v>
      </c>
      <c r="N11" s="144">
        <v>0</v>
      </c>
      <c r="O11" s="424">
        <v>0</v>
      </c>
      <c r="P11" s="145">
        <v>0</v>
      </c>
      <c r="Q11" s="424">
        <v>0</v>
      </c>
      <c r="R11" s="145">
        <v>0</v>
      </c>
      <c r="S11" s="424">
        <v>0</v>
      </c>
      <c r="T11" s="145">
        <v>0</v>
      </c>
      <c r="U11" s="424">
        <v>0</v>
      </c>
      <c r="V11" s="145">
        <v>0</v>
      </c>
      <c r="W11" s="424">
        <v>0</v>
      </c>
      <c r="X11" s="145">
        <v>0</v>
      </c>
      <c r="Y11" s="424">
        <v>0</v>
      </c>
      <c r="Z11" s="177">
        <f>B11+D11+F11+H11+J11+L11+N11+P11+R11+T11+V11+X11</f>
        <v>0</v>
      </c>
      <c r="AA11" s="401">
        <f>C11+E11+G11+I11+K11+M11+O11+Q11+S11+U11+W11+Y11</f>
        <v>0</v>
      </c>
      <c r="AB11" s="176"/>
      <c r="AC11" s="176"/>
      <c r="AD11" s="176"/>
      <c r="AE11" s="176"/>
      <c r="AF11" s="176"/>
      <c r="AG11" s="147"/>
      <c r="AH11" s="147"/>
      <c r="AI11" s="147"/>
      <c r="AJ11" s="147"/>
      <c r="AK11" s="147"/>
      <c r="AL11" s="147"/>
      <c r="AM11" s="148"/>
      <c r="AO11" s="144" t="s">
        <v>266</v>
      </c>
      <c r="AP11" s="144"/>
      <c r="AQ11" s="144"/>
      <c r="AR11" s="144"/>
      <c r="AS11" s="144"/>
      <c r="AT11" s="144"/>
      <c r="AU11" s="144"/>
      <c r="AV11" s="144"/>
      <c r="AW11" s="144"/>
      <c r="AX11" s="144"/>
      <c r="AY11" s="144"/>
      <c r="AZ11" s="144"/>
      <c r="BA11" s="144"/>
      <c r="BB11" s="144"/>
      <c r="BC11" s="145"/>
      <c r="BD11" s="145"/>
      <c r="BE11" s="145"/>
      <c r="BF11" s="145"/>
      <c r="BG11" s="145"/>
      <c r="BH11" s="145"/>
      <c r="BI11" s="145"/>
      <c r="BJ11" s="145"/>
      <c r="BK11" s="145"/>
      <c r="BL11" s="145"/>
      <c r="BM11" s="145"/>
      <c r="BN11" s="177">
        <f>AP11+AR11+AT11+AV11+AX11+AZ11+BB11+BD11+BF11+BH11+BJ11+BL11</f>
        <v>0</v>
      </c>
      <c r="BO11" s="152">
        <f>AQ11+AS11+AU11+AW11+AY11+BA11+BC11+BE11+BG11+BI11+BK11+BM11</f>
        <v>0</v>
      </c>
      <c r="BP11" s="147"/>
      <c r="BQ11" s="147"/>
      <c r="BR11" s="147"/>
      <c r="BS11" s="147"/>
      <c r="BT11" s="147"/>
      <c r="BU11" s="147"/>
      <c r="BV11" s="147"/>
      <c r="BW11" s="147"/>
      <c r="BX11" s="147"/>
      <c r="BY11" s="147"/>
      <c r="BZ11" s="147"/>
      <c r="CA11" s="148"/>
    </row>
    <row r="12" spans="1:79">
      <c r="A12" s="144" t="s">
        <v>267</v>
      </c>
      <c r="B12" s="144">
        <v>0</v>
      </c>
      <c r="C12" s="425">
        <v>0</v>
      </c>
      <c r="D12" s="144">
        <v>25</v>
      </c>
      <c r="E12" s="425">
        <f>343124.4*D12</f>
        <v>8578110</v>
      </c>
      <c r="F12" s="144">
        <v>25</v>
      </c>
      <c r="G12" s="425">
        <f>343124.4*F12</f>
        <v>8578110</v>
      </c>
      <c r="H12" s="144">
        <v>25</v>
      </c>
      <c r="I12" s="425">
        <f>343124.4*H12</f>
        <v>8578110</v>
      </c>
      <c r="J12" s="144">
        <v>25</v>
      </c>
      <c r="K12" s="425">
        <f>343124.4*J12</f>
        <v>8578110</v>
      </c>
      <c r="L12" s="144">
        <v>25</v>
      </c>
      <c r="M12" s="425">
        <f>343124.4*L12</f>
        <v>8578110</v>
      </c>
      <c r="N12" s="144">
        <v>25</v>
      </c>
      <c r="O12" s="424">
        <f>343124.4*N12</f>
        <v>8578110</v>
      </c>
      <c r="P12" s="145">
        <v>25</v>
      </c>
      <c r="Q12" s="424">
        <f>343124.4*P12</f>
        <v>8578110</v>
      </c>
      <c r="R12" s="145">
        <v>25</v>
      </c>
      <c r="S12" s="424">
        <f>343124.4*R12</f>
        <v>8578110</v>
      </c>
      <c r="T12" s="145">
        <v>25</v>
      </c>
      <c r="U12" s="424">
        <f>343124.4*T12</f>
        <v>8578110</v>
      </c>
      <c r="V12" s="145">
        <v>25</v>
      </c>
      <c r="W12" s="424">
        <f>343124.4*V12</f>
        <v>8578110</v>
      </c>
      <c r="X12" s="145">
        <v>10</v>
      </c>
      <c r="Y12" s="424">
        <f>343124.4*X12</f>
        <v>3431244</v>
      </c>
      <c r="Z12" s="177">
        <f t="shared" ref="Z12:AA31" si="0">B12+D12+F12+H12+J12+L12+N12+P12+R12+T12+V12+X12</f>
        <v>260</v>
      </c>
      <c r="AA12" s="402">
        <f t="shared" si="0"/>
        <v>89212344</v>
      </c>
      <c r="AB12" s="176"/>
      <c r="AC12" s="176"/>
      <c r="AD12" s="176"/>
      <c r="AE12" s="176"/>
      <c r="AF12" s="176"/>
      <c r="AG12" s="147"/>
      <c r="AH12" s="147"/>
      <c r="AI12" s="147"/>
      <c r="AJ12" s="147"/>
      <c r="AK12" s="147"/>
      <c r="AL12" s="147"/>
      <c r="AM12" s="147"/>
      <c r="AO12" s="144" t="s">
        <v>267</v>
      </c>
      <c r="AP12" s="144"/>
      <c r="AQ12" s="144"/>
      <c r="AR12" s="144"/>
      <c r="AS12" s="144"/>
      <c r="AT12" s="144"/>
      <c r="AU12" s="144"/>
      <c r="AV12" s="144"/>
      <c r="AW12" s="144"/>
      <c r="AX12" s="144"/>
      <c r="AY12" s="144"/>
      <c r="AZ12" s="144"/>
      <c r="BA12" s="144"/>
      <c r="BB12" s="144"/>
      <c r="BC12" s="145"/>
      <c r="BD12" s="145"/>
      <c r="BE12" s="145"/>
      <c r="BF12" s="145"/>
      <c r="BG12" s="145"/>
      <c r="BH12" s="145"/>
      <c r="BI12" s="145"/>
      <c r="BJ12" s="145"/>
      <c r="BK12" s="145"/>
      <c r="BL12" s="145"/>
      <c r="BM12" s="145"/>
      <c r="BN12" s="177">
        <f t="shared" ref="BN12:BO31" si="1">AP12+AR12+AT12+AV12+AX12+AZ12+BB12+BD12+BF12+BH12+BJ12+BL12</f>
        <v>0</v>
      </c>
      <c r="BO12" s="152">
        <f t="shared" si="1"/>
        <v>0</v>
      </c>
      <c r="BP12" s="147"/>
      <c r="BQ12" s="147"/>
      <c r="BR12" s="147"/>
      <c r="BS12" s="147"/>
      <c r="BT12" s="147"/>
      <c r="BU12" s="147"/>
      <c r="BV12" s="147"/>
      <c r="BW12" s="147"/>
      <c r="BX12" s="147"/>
      <c r="BY12" s="147"/>
      <c r="BZ12" s="147"/>
      <c r="CA12" s="147"/>
    </row>
    <row r="13" spans="1:79">
      <c r="A13" s="144" t="s">
        <v>268</v>
      </c>
      <c r="B13" s="144">
        <v>0</v>
      </c>
      <c r="C13" s="425">
        <v>0</v>
      </c>
      <c r="D13" s="144">
        <v>20</v>
      </c>
      <c r="E13" s="425">
        <f>343124.4*D13</f>
        <v>6862488</v>
      </c>
      <c r="F13" s="144">
        <v>20</v>
      </c>
      <c r="G13" s="425">
        <f t="shared" ref="G13:G31" si="2">343124.4*F13</f>
        <v>6862488</v>
      </c>
      <c r="H13" s="144">
        <v>20</v>
      </c>
      <c r="I13" s="425">
        <f t="shared" ref="I13:I31" si="3">343124.4*H13</f>
        <v>6862488</v>
      </c>
      <c r="J13" s="144">
        <v>20</v>
      </c>
      <c r="K13" s="425">
        <f t="shared" ref="K13:K31" si="4">343124.4*J13</f>
        <v>6862488</v>
      </c>
      <c r="L13" s="144">
        <v>20</v>
      </c>
      <c r="M13" s="425">
        <f t="shared" ref="M13:M31" si="5">343124.4*L13</f>
        <v>6862488</v>
      </c>
      <c r="N13" s="144">
        <v>20</v>
      </c>
      <c r="O13" s="424">
        <f t="shared" ref="O13:O31" si="6">343124.4*N13</f>
        <v>6862488</v>
      </c>
      <c r="P13" s="145">
        <v>20</v>
      </c>
      <c r="Q13" s="424">
        <f t="shared" ref="Q13:Q31" si="7">343124.4*P13</f>
        <v>6862488</v>
      </c>
      <c r="R13" s="145">
        <v>20</v>
      </c>
      <c r="S13" s="424">
        <f t="shared" ref="S13:S31" si="8">343124.4*R13</f>
        <v>6862488</v>
      </c>
      <c r="T13" s="145">
        <v>20</v>
      </c>
      <c r="U13" s="424">
        <f t="shared" ref="U13:U31" si="9">343124.4*T13</f>
        <v>6862488</v>
      </c>
      <c r="V13" s="145">
        <v>20</v>
      </c>
      <c r="W13" s="424">
        <f t="shared" ref="W13:W31" si="10">343124.4*V13</f>
        <v>6862488</v>
      </c>
      <c r="X13" s="145">
        <v>10</v>
      </c>
      <c r="Y13" s="424">
        <f t="shared" ref="Y13:Y14" si="11">343124.4*X13</f>
        <v>3431244</v>
      </c>
      <c r="Z13" s="177">
        <f t="shared" si="0"/>
        <v>210</v>
      </c>
      <c r="AA13" s="402">
        <f t="shared" si="0"/>
        <v>72056124</v>
      </c>
      <c r="AB13" s="176"/>
      <c r="AC13" s="176"/>
      <c r="AD13" s="176"/>
      <c r="AE13" s="176"/>
      <c r="AF13" s="176"/>
      <c r="AG13" s="147"/>
      <c r="AH13" s="147"/>
      <c r="AI13" s="147"/>
      <c r="AJ13" s="147"/>
      <c r="AK13" s="147"/>
      <c r="AL13" s="147"/>
      <c r="AM13" s="147"/>
      <c r="AO13" s="144" t="s">
        <v>268</v>
      </c>
      <c r="AP13" s="144"/>
      <c r="AQ13" s="144"/>
      <c r="AR13" s="144"/>
      <c r="AS13" s="144"/>
      <c r="AT13" s="144"/>
      <c r="AU13" s="144"/>
      <c r="AV13" s="144"/>
      <c r="AW13" s="144"/>
      <c r="AX13" s="144"/>
      <c r="AY13" s="144"/>
      <c r="AZ13" s="144"/>
      <c r="BA13" s="144"/>
      <c r="BB13" s="144"/>
      <c r="BC13" s="145"/>
      <c r="BD13" s="145"/>
      <c r="BE13" s="145"/>
      <c r="BF13" s="145"/>
      <c r="BG13" s="145"/>
      <c r="BH13" s="145"/>
      <c r="BI13" s="145"/>
      <c r="BJ13" s="145"/>
      <c r="BK13" s="145"/>
      <c r="BL13" s="145"/>
      <c r="BM13" s="145"/>
      <c r="BN13" s="177">
        <f t="shared" si="1"/>
        <v>0</v>
      </c>
      <c r="BO13" s="152">
        <f t="shared" si="1"/>
        <v>0</v>
      </c>
      <c r="BP13" s="147"/>
      <c r="BQ13" s="147"/>
      <c r="BR13" s="147"/>
      <c r="BS13" s="147"/>
      <c r="BT13" s="147"/>
      <c r="BU13" s="147"/>
      <c r="BV13" s="147"/>
      <c r="BW13" s="147"/>
      <c r="BX13" s="147"/>
      <c r="BY13" s="147"/>
      <c r="BZ13" s="147"/>
      <c r="CA13" s="147"/>
    </row>
    <row r="14" spans="1:79">
      <c r="A14" s="144" t="s">
        <v>269</v>
      </c>
      <c r="B14" s="144">
        <v>0</v>
      </c>
      <c r="C14" s="425">
        <v>0</v>
      </c>
      <c r="D14" s="144">
        <v>10</v>
      </c>
      <c r="E14" s="425">
        <f t="shared" ref="E14:E30" si="12">343124.4*D14</f>
        <v>3431244</v>
      </c>
      <c r="F14" s="144">
        <v>10</v>
      </c>
      <c r="G14" s="425">
        <f t="shared" si="2"/>
        <v>3431244</v>
      </c>
      <c r="H14" s="144">
        <v>10</v>
      </c>
      <c r="I14" s="425">
        <f t="shared" si="3"/>
        <v>3431244</v>
      </c>
      <c r="J14" s="144">
        <v>10</v>
      </c>
      <c r="K14" s="425">
        <f t="shared" si="4"/>
        <v>3431244</v>
      </c>
      <c r="L14" s="144">
        <v>10</v>
      </c>
      <c r="M14" s="425">
        <f t="shared" si="5"/>
        <v>3431244</v>
      </c>
      <c r="N14" s="144">
        <v>10</v>
      </c>
      <c r="O14" s="424">
        <f t="shared" si="6"/>
        <v>3431244</v>
      </c>
      <c r="P14" s="145">
        <v>10</v>
      </c>
      <c r="Q14" s="424">
        <f t="shared" si="7"/>
        <v>3431244</v>
      </c>
      <c r="R14" s="145">
        <v>10</v>
      </c>
      <c r="S14" s="424">
        <f t="shared" si="8"/>
        <v>3431244</v>
      </c>
      <c r="T14" s="145">
        <v>10</v>
      </c>
      <c r="U14" s="424">
        <f t="shared" si="9"/>
        <v>3431244</v>
      </c>
      <c r="V14" s="145">
        <v>10</v>
      </c>
      <c r="W14" s="424">
        <f t="shared" si="10"/>
        <v>3431244</v>
      </c>
      <c r="X14" s="145">
        <v>10</v>
      </c>
      <c r="Y14" s="424">
        <f t="shared" si="11"/>
        <v>3431244</v>
      </c>
      <c r="Z14" s="177">
        <f t="shared" si="0"/>
        <v>110</v>
      </c>
      <c r="AA14" s="402">
        <f t="shared" si="0"/>
        <v>37743684</v>
      </c>
      <c r="AB14" s="176"/>
      <c r="AC14" s="176"/>
      <c r="AD14" s="176"/>
      <c r="AE14" s="176"/>
      <c r="AF14" s="176"/>
      <c r="AG14" s="147"/>
      <c r="AH14" s="147"/>
      <c r="AI14" s="147"/>
      <c r="AJ14" s="147"/>
      <c r="AK14" s="147"/>
      <c r="AL14" s="147"/>
      <c r="AM14" s="147"/>
      <c r="AO14" s="144" t="s">
        <v>269</v>
      </c>
      <c r="AP14" s="144"/>
      <c r="AQ14" s="144"/>
      <c r="AR14" s="144"/>
      <c r="AS14" s="144"/>
      <c r="AT14" s="144"/>
      <c r="AU14" s="144"/>
      <c r="AV14" s="144"/>
      <c r="AW14" s="144"/>
      <c r="AX14" s="144"/>
      <c r="AY14" s="144"/>
      <c r="AZ14" s="144"/>
      <c r="BA14" s="144"/>
      <c r="BB14" s="144"/>
      <c r="BC14" s="145"/>
      <c r="BD14" s="145"/>
      <c r="BE14" s="145"/>
      <c r="BF14" s="145"/>
      <c r="BG14" s="145"/>
      <c r="BH14" s="145"/>
      <c r="BI14" s="145"/>
      <c r="BJ14" s="145"/>
      <c r="BK14" s="145"/>
      <c r="BL14" s="145"/>
      <c r="BM14" s="145"/>
      <c r="BN14" s="177">
        <f t="shared" si="1"/>
        <v>0</v>
      </c>
      <c r="BO14" s="152">
        <f t="shared" si="1"/>
        <v>0</v>
      </c>
      <c r="BP14" s="147"/>
      <c r="BQ14" s="147"/>
      <c r="BR14" s="147"/>
      <c r="BS14" s="147"/>
      <c r="BT14" s="147"/>
      <c r="BU14" s="147"/>
      <c r="BV14" s="147"/>
      <c r="BW14" s="147"/>
      <c r="BX14" s="147"/>
      <c r="BY14" s="147"/>
      <c r="BZ14" s="147"/>
      <c r="CA14" s="147"/>
    </row>
    <row r="15" spans="1:79">
      <c r="A15" s="144" t="s">
        <v>270</v>
      </c>
      <c r="B15" s="144">
        <v>0</v>
      </c>
      <c r="C15" s="425">
        <v>0</v>
      </c>
      <c r="D15" s="144">
        <v>40</v>
      </c>
      <c r="E15" s="425">
        <f t="shared" si="12"/>
        <v>13724976</v>
      </c>
      <c r="F15" s="144">
        <v>60</v>
      </c>
      <c r="G15" s="425">
        <f t="shared" si="2"/>
        <v>20587464</v>
      </c>
      <c r="H15" s="144">
        <v>60</v>
      </c>
      <c r="I15" s="425">
        <f t="shared" si="3"/>
        <v>20587464</v>
      </c>
      <c r="J15" s="144">
        <v>60</v>
      </c>
      <c r="K15" s="425">
        <f t="shared" si="4"/>
        <v>20587464</v>
      </c>
      <c r="L15" s="144">
        <v>60</v>
      </c>
      <c r="M15" s="425">
        <f t="shared" si="5"/>
        <v>20587464</v>
      </c>
      <c r="N15" s="144">
        <v>60</v>
      </c>
      <c r="O15" s="424">
        <f t="shared" si="6"/>
        <v>20587464</v>
      </c>
      <c r="P15" s="145">
        <v>60</v>
      </c>
      <c r="Q15" s="424">
        <f t="shared" si="7"/>
        <v>20587464</v>
      </c>
      <c r="R15" s="145">
        <v>60</v>
      </c>
      <c r="S15" s="424">
        <f t="shared" si="8"/>
        <v>20587464</v>
      </c>
      <c r="T15" s="145">
        <v>60</v>
      </c>
      <c r="U15" s="424">
        <f t="shared" si="9"/>
        <v>20587464</v>
      </c>
      <c r="V15" s="145">
        <v>60</v>
      </c>
      <c r="W15" s="424">
        <f t="shared" si="10"/>
        <v>20587464</v>
      </c>
      <c r="X15" s="145">
        <v>11</v>
      </c>
      <c r="Y15" s="424">
        <f t="shared" ref="Y15:Y31" si="13">343124.3*X15</f>
        <v>3774367.3</v>
      </c>
      <c r="Z15" s="177">
        <f t="shared" si="0"/>
        <v>591</v>
      </c>
      <c r="AA15" s="402">
        <f t="shared" si="0"/>
        <v>202786519.30000001</v>
      </c>
      <c r="AB15" s="176"/>
      <c r="AC15" s="176"/>
      <c r="AD15" s="176"/>
      <c r="AE15" s="176"/>
      <c r="AF15" s="176"/>
      <c r="AG15" s="147"/>
      <c r="AH15" s="147"/>
      <c r="AI15" s="147"/>
      <c r="AJ15" s="147"/>
      <c r="AK15" s="147"/>
      <c r="AL15" s="147"/>
      <c r="AM15" s="147"/>
      <c r="AO15" s="144" t="s">
        <v>270</v>
      </c>
      <c r="AP15" s="144"/>
      <c r="AQ15" s="144"/>
      <c r="AR15" s="144"/>
      <c r="AS15" s="144"/>
      <c r="AT15" s="144"/>
      <c r="AU15" s="144"/>
      <c r="AV15" s="144"/>
      <c r="AW15" s="144"/>
      <c r="AX15" s="144"/>
      <c r="AY15" s="144"/>
      <c r="AZ15" s="144"/>
      <c r="BA15" s="144"/>
      <c r="BB15" s="144"/>
      <c r="BC15" s="145"/>
      <c r="BD15" s="145"/>
      <c r="BE15" s="145"/>
      <c r="BF15" s="145"/>
      <c r="BG15" s="145"/>
      <c r="BH15" s="145"/>
      <c r="BI15" s="145"/>
      <c r="BJ15" s="145"/>
      <c r="BK15" s="145"/>
      <c r="BL15" s="145"/>
      <c r="BM15" s="145"/>
      <c r="BN15" s="177">
        <f t="shared" si="1"/>
        <v>0</v>
      </c>
      <c r="BO15" s="152">
        <f t="shared" si="1"/>
        <v>0</v>
      </c>
      <c r="BP15" s="147"/>
      <c r="BQ15" s="147"/>
      <c r="BR15" s="147"/>
      <c r="BS15" s="147"/>
      <c r="BT15" s="147"/>
      <c r="BU15" s="147"/>
      <c r="BV15" s="147"/>
      <c r="BW15" s="147"/>
      <c r="BX15" s="147"/>
      <c r="BY15" s="147"/>
      <c r="BZ15" s="147"/>
      <c r="CA15" s="147"/>
    </row>
    <row r="16" spans="1:79">
      <c r="A16" s="144" t="s">
        <v>271</v>
      </c>
      <c r="B16" s="144">
        <v>0</v>
      </c>
      <c r="C16" s="425">
        <v>0</v>
      </c>
      <c r="D16" s="144">
        <v>40</v>
      </c>
      <c r="E16" s="425">
        <f t="shared" si="12"/>
        <v>13724976</v>
      </c>
      <c r="F16" s="144">
        <v>103</v>
      </c>
      <c r="G16" s="425">
        <f t="shared" si="2"/>
        <v>35341813.200000003</v>
      </c>
      <c r="H16" s="144">
        <v>103</v>
      </c>
      <c r="I16" s="425">
        <f t="shared" si="3"/>
        <v>35341813.200000003</v>
      </c>
      <c r="J16" s="144">
        <v>103</v>
      </c>
      <c r="K16" s="425">
        <f t="shared" si="4"/>
        <v>35341813.200000003</v>
      </c>
      <c r="L16" s="144">
        <v>103</v>
      </c>
      <c r="M16" s="425">
        <f t="shared" si="5"/>
        <v>35341813.200000003</v>
      </c>
      <c r="N16" s="144">
        <v>103</v>
      </c>
      <c r="O16" s="424">
        <f t="shared" si="6"/>
        <v>35341813.200000003</v>
      </c>
      <c r="P16" s="145">
        <v>103</v>
      </c>
      <c r="Q16" s="424">
        <f t="shared" si="7"/>
        <v>35341813.200000003</v>
      </c>
      <c r="R16" s="145">
        <v>103</v>
      </c>
      <c r="S16" s="424">
        <f t="shared" si="8"/>
        <v>35341813.200000003</v>
      </c>
      <c r="T16" s="145">
        <v>103</v>
      </c>
      <c r="U16" s="424">
        <f t="shared" si="9"/>
        <v>35341813.200000003</v>
      </c>
      <c r="V16" s="145">
        <v>103</v>
      </c>
      <c r="W16" s="424">
        <f t="shared" si="10"/>
        <v>35341813.200000003</v>
      </c>
      <c r="X16" s="145">
        <v>11</v>
      </c>
      <c r="Y16" s="424">
        <f t="shared" si="13"/>
        <v>3774367.3</v>
      </c>
      <c r="Z16" s="177">
        <f t="shared" si="0"/>
        <v>978</v>
      </c>
      <c r="AA16" s="402">
        <f t="shared" si="0"/>
        <v>335575662.09999996</v>
      </c>
      <c r="AB16" s="176"/>
      <c r="AC16" s="176"/>
      <c r="AD16" s="176"/>
      <c r="AE16" s="176"/>
      <c r="AF16" s="176"/>
      <c r="AG16" s="147"/>
      <c r="AH16" s="147"/>
      <c r="AI16" s="147"/>
      <c r="AJ16" s="147"/>
      <c r="AK16" s="147"/>
      <c r="AL16" s="147"/>
      <c r="AM16" s="147"/>
      <c r="AO16" s="144" t="s">
        <v>271</v>
      </c>
      <c r="AP16" s="144"/>
      <c r="AQ16" s="144"/>
      <c r="AR16" s="144"/>
      <c r="AS16" s="144"/>
      <c r="AT16" s="144"/>
      <c r="AU16" s="144"/>
      <c r="AV16" s="144"/>
      <c r="AW16" s="144"/>
      <c r="AX16" s="144"/>
      <c r="AY16" s="144"/>
      <c r="AZ16" s="144"/>
      <c r="BA16" s="144"/>
      <c r="BB16" s="144"/>
      <c r="BC16" s="145"/>
      <c r="BD16" s="145"/>
      <c r="BE16" s="145"/>
      <c r="BF16" s="145"/>
      <c r="BG16" s="145"/>
      <c r="BH16" s="145"/>
      <c r="BI16" s="145"/>
      <c r="BJ16" s="145"/>
      <c r="BK16" s="145"/>
      <c r="BL16" s="145"/>
      <c r="BM16" s="145"/>
      <c r="BN16" s="177">
        <f t="shared" si="1"/>
        <v>0</v>
      </c>
      <c r="BO16" s="152">
        <f t="shared" si="1"/>
        <v>0</v>
      </c>
      <c r="BP16" s="147"/>
      <c r="BQ16" s="147"/>
      <c r="BR16" s="147"/>
      <c r="BS16" s="147"/>
      <c r="BT16" s="147"/>
      <c r="BU16" s="147"/>
      <c r="BV16" s="147"/>
      <c r="BW16" s="147"/>
      <c r="BX16" s="147"/>
      <c r="BY16" s="147"/>
      <c r="BZ16" s="147"/>
      <c r="CA16" s="147"/>
    </row>
    <row r="17" spans="1:79">
      <c r="A17" s="144" t="s">
        <v>272</v>
      </c>
      <c r="B17" s="144">
        <v>0</v>
      </c>
      <c r="C17" s="425">
        <v>0</v>
      </c>
      <c r="D17" s="144">
        <v>25</v>
      </c>
      <c r="E17" s="425">
        <f t="shared" si="12"/>
        <v>8578110</v>
      </c>
      <c r="F17" s="144">
        <v>25</v>
      </c>
      <c r="G17" s="425">
        <f t="shared" si="2"/>
        <v>8578110</v>
      </c>
      <c r="H17" s="144">
        <v>25</v>
      </c>
      <c r="I17" s="425">
        <f t="shared" si="3"/>
        <v>8578110</v>
      </c>
      <c r="J17" s="144">
        <v>25</v>
      </c>
      <c r="K17" s="425">
        <f t="shared" si="4"/>
        <v>8578110</v>
      </c>
      <c r="L17" s="144">
        <v>25</v>
      </c>
      <c r="M17" s="425">
        <f t="shared" si="5"/>
        <v>8578110</v>
      </c>
      <c r="N17" s="144">
        <v>25</v>
      </c>
      <c r="O17" s="424">
        <f t="shared" si="6"/>
        <v>8578110</v>
      </c>
      <c r="P17" s="145">
        <v>25</v>
      </c>
      <c r="Q17" s="424">
        <f t="shared" si="7"/>
        <v>8578110</v>
      </c>
      <c r="R17" s="145">
        <v>25</v>
      </c>
      <c r="S17" s="424">
        <f t="shared" si="8"/>
        <v>8578110</v>
      </c>
      <c r="T17" s="145">
        <v>25</v>
      </c>
      <c r="U17" s="424">
        <f t="shared" si="9"/>
        <v>8578110</v>
      </c>
      <c r="V17" s="145">
        <v>25</v>
      </c>
      <c r="W17" s="424">
        <f t="shared" si="10"/>
        <v>8578110</v>
      </c>
      <c r="X17" s="145">
        <v>10</v>
      </c>
      <c r="Y17" s="424">
        <f>343124.4*X17</f>
        <v>3431244</v>
      </c>
      <c r="Z17" s="177">
        <f t="shared" si="0"/>
        <v>260</v>
      </c>
      <c r="AA17" s="402">
        <f t="shared" si="0"/>
        <v>89212344</v>
      </c>
      <c r="AB17" s="176"/>
      <c r="AC17" s="176"/>
      <c r="AD17" s="176"/>
      <c r="AE17" s="176"/>
      <c r="AF17" s="176"/>
      <c r="AG17" s="147"/>
      <c r="AH17" s="147"/>
      <c r="AI17" s="147"/>
      <c r="AJ17" s="147"/>
      <c r="AK17" s="147"/>
      <c r="AL17" s="147"/>
      <c r="AM17" s="147"/>
      <c r="AO17" s="144" t="s">
        <v>272</v>
      </c>
      <c r="AP17" s="144"/>
      <c r="AQ17" s="144"/>
      <c r="AR17" s="144"/>
      <c r="AS17" s="144"/>
      <c r="AT17" s="144"/>
      <c r="AU17" s="144"/>
      <c r="AV17" s="144"/>
      <c r="AW17" s="144"/>
      <c r="AX17" s="144"/>
      <c r="AY17" s="144"/>
      <c r="AZ17" s="144"/>
      <c r="BA17" s="144"/>
      <c r="BB17" s="144"/>
      <c r="BC17" s="145"/>
      <c r="BD17" s="145"/>
      <c r="BE17" s="145"/>
      <c r="BF17" s="145"/>
      <c r="BG17" s="145"/>
      <c r="BH17" s="145"/>
      <c r="BI17" s="145"/>
      <c r="BJ17" s="145"/>
      <c r="BK17" s="145"/>
      <c r="BL17" s="145"/>
      <c r="BM17" s="145"/>
      <c r="BN17" s="177">
        <f t="shared" si="1"/>
        <v>0</v>
      </c>
      <c r="BO17" s="152">
        <f t="shared" si="1"/>
        <v>0</v>
      </c>
      <c r="BP17" s="147"/>
      <c r="BQ17" s="147"/>
      <c r="BR17" s="147"/>
      <c r="BS17" s="147"/>
      <c r="BT17" s="147"/>
      <c r="BU17" s="147"/>
      <c r="BV17" s="147"/>
      <c r="BW17" s="147"/>
      <c r="BX17" s="147"/>
      <c r="BY17" s="147"/>
      <c r="BZ17" s="147"/>
      <c r="CA17" s="147"/>
    </row>
    <row r="18" spans="1:79">
      <c r="A18" s="144" t="s">
        <v>273</v>
      </c>
      <c r="B18" s="144">
        <v>0</v>
      </c>
      <c r="C18" s="425">
        <v>0</v>
      </c>
      <c r="D18" s="144">
        <v>50</v>
      </c>
      <c r="E18" s="425">
        <f t="shared" si="12"/>
        <v>17156220</v>
      </c>
      <c r="F18" s="144">
        <v>65</v>
      </c>
      <c r="G18" s="425">
        <f t="shared" si="2"/>
        <v>22303086</v>
      </c>
      <c r="H18" s="144">
        <v>65</v>
      </c>
      <c r="I18" s="425">
        <f t="shared" si="3"/>
        <v>22303086</v>
      </c>
      <c r="J18" s="144">
        <v>65</v>
      </c>
      <c r="K18" s="425">
        <f t="shared" si="4"/>
        <v>22303086</v>
      </c>
      <c r="L18" s="144">
        <v>65</v>
      </c>
      <c r="M18" s="425">
        <f t="shared" si="5"/>
        <v>22303086</v>
      </c>
      <c r="N18" s="144">
        <v>65</v>
      </c>
      <c r="O18" s="424">
        <f t="shared" si="6"/>
        <v>22303086</v>
      </c>
      <c r="P18" s="145">
        <v>65</v>
      </c>
      <c r="Q18" s="424">
        <f t="shared" si="7"/>
        <v>22303086</v>
      </c>
      <c r="R18" s="145">
        <v>65</v>
      </c>
      <c r="S18" s="424">
        <f t="shared" si="8"/>
        <v>22303086</v>
      </c>
      <c r="T18" s="145">
        <v>65</v>
      </c>
      <c r="U18" s="424">
        <f t="shared" si="9"/>
        <v>22303086</v>
      </c>
      <c r="V18" s="145">
        <v>65</v>
      </c>
      <c r="W18" s="424">
        <f t="shared" si="10"/>
        <v>22303086</v>
      </c>
      <c r="X18" s="145">
        <v>11</v>
      </c>
      <c r="Y18" s="424">
        <f t="shared" si="13"/>
        <v>3774367.3</v>
      </c>
      <c r="Z18" s="177">
        <f t="shared" si="0"/>
        <v>646</v>
      </c>
      <c r="AA18" s="402">
        <f t="shared" si="0"/>
        <v>221658361.30000001</v>
      </c>
      <c r="AB18" s="176"/>
      <c r="AC18" s="176"/>
      <c r="AD18" s="176"/>
      <c r="AE18" s="176"/>
      <c r="AF18" s="176"/>
      <c r="AG18" s="147"/>
      <c r="AH18" s="147"/>
      <c r="AI18" s="147"/>
      <c r="AJ18" s="147"/>
      <c r="AK18" s="147"/>
      <c r="AL18" s="147"/>
      <c r="AM18" s="147"/>
      <c r="AO18" s="144" t="s">
        <v>273</v>
      </c>
      <c r="AP18" s="144"/>
      <c r="AQ18" s="144"/>
      <c r="AR18" s="144"/>
      <c r="AS18" s="144"/>
      <c r="AT18" s="144"/>
      <c r="AU18" s="144"/>
      <c r="AV18" s="144"/>
      <c r="AW18" s="144"/>
      <c r="AX18" s="144"/>
      <c r="AY18" s="144"/>
      <c r="AZ18" s="144"/>
      <c r="BA18" s="144"/>
      <c r="BB18" s="144"/>
      <c r="BC18" s="145"/>
      <c r="BD18" s="145"/>
      <c r="BE18" s="145"/>
      <c r="BF18" s="145"/>
      <c r="BG18" s="145"/>
      <c r="BH18" s="145"/>
      <c r="BI18" s="145"/>
      <c r="BJ18" s="145"/>
      <c r="BK18" s="145"/>
      <c r="BL18" s="145"/>
      <c r="BM18" s="145"/>
      <c r="BN18" s="177">
        <f t="shared" si="1"/>
        <v>0</v>
      </c>
      <c r="BO18" s="152">
        <f t="shared" si="1"/>
        <v>0</v>
      </c>
      <c r="BP18" s="147"/>
      <c r="BQ18" s="147"/>
      <c r="BR18" s="147"/>
      <c r="BS18" s="147"/>
      <c r="BT18" s="147"/>
      <c r="BU18" s="147"/>
      <c r="BV18" s="147"/>
      <c r="BW18" s="147"/>
      <c r="BX18" s="147"/>
      <c r="BY18" s="147"/>
      <c r="BZ18" s="147"/>
      <c r="CA18" s="147"/>
    </row>
    <row r="19" spans="1:79">
      <c r="A19" s="144" t="s">
        <v>274</v>
      </c>
      <c r="B19" s="144">
        <v>0</v>
      </c>
      <c r="C19" s="425">
        <v>0</v>
      </c>
      <c r="D19" s="144">
        <v>50</v>
      </c>
      <c r="E19" s="425">
        <f t="shared" si="12"/>
        <v>17156220</v>
      </c>
      <c r="F19" s="144">
        <v>70</v>
      </c>
      <c r="G19" s="425">
        <f t="shared" si="2"/>
        <v>24018708</v>
      </c>
      <c r="H19" s="144">
        <v>70</v>
      </c>
      <c r="I19" s="425">
        <f t="shared" si="3"/>
        <v>24018708</v>
      </c>
      <c r="J19" s="144">
        <v>70</v>
      </c>
      <c r="K19" s="425">
        <f t="shared" si="4"/>
        <v>24018708</v>
      </c>
      <c r="L19" s="144">
        <v>70</v>
      </c>
      <c r="M19" s="425">
        <f t="shared" si="5"/>
        <v>24018708</v>
      </c>
      <c r="N19" s="144">
        <v>70</v>
      </c>
      <c r="O19" s="424">
        <f t="shared" si="6"/>
        <v>24018708</v>
      </c>
      <c r="P19" s="145">
        <v>70</v>
      </c>
      <c r="Q19" s="424">
        <f t="shared" si="7"/>
        <v>24018708</v>
      </c>
      <c r="R19" s="145">
        <v>70</v>
      </c>
      <c r="S19" s="424">
        <f t="shared" si="8"/>
        <v>24018708</v>
      </c>
      <c r="T19" s="145">
        <v>70</v>
      </c>
      <c r="U19" s="424">
        <f t="shared" si="9"/>
        <v>24018708</v>
      </c>
      <c r="V19" s="145">
        <v>70</v>
      </c>
      <c r="W19" s="424">
        <f t="shared" si="10"/>
        <v>24018708</v>
      </c>
      <c r="X19" s="145">
        <v>11</v>
      </c>
      <c r="Y19" s="424">
        <f t="shared" si="13"/>
        <v>3774367.3</v>
      </c>
      <c r="Z19" s="177">
        <f t="shared" si="0"/>
        <v>691</v>
      </c>
      <c r="AA19" s="402">
        <f t="shared" si="0"/>
        <v>237098959.30000001</v>
      </c>
      <c r="AB19" s="176"/>
      <c r="AC19" s="176"/>
      <c r="AD19" s="176"/>
      <c r="AE19" s="176"/>
      <c r="AF19" s="176"/>
      <c r="AG19" s="147"/>
      <c r="AH19" s="147"/>
      <c r="AI19" s="147"/>
      <c r="AJ19" s="147"/>
      <c r="AK19" s="147"/>
      <c r="AL19" s="147"/>
      <c r="AM19" s="147"/>
      <c r="AO19" s="144" t="s">
        <v>274</v>
      </c>
      <c r="AP19" s="144"/>
      <c r="AQ19" s="144"/>
      <c r="AR19" s="144"/>
      <c r="AS19" s="144"/>
      <c r="AT19" s="144"/>
      <c r="AU19" s="144"/>
      <c r="AV19" s="144"/>
      <c r="AW19" s="144"/>
      <c r="AX19" s="144"/>
      <c r="AY19" s="144"/>
      <c r="AZ19" s="144"/>
      <c r="BA19" s="144"/>
      <c r="BB19" s="144"/>
      <c r="BC19" s="145"/>
      <c r="BD19" s="145"/>
      <c r="BE19" s="145"/>
      <c r="BF19" s="145"/>
      <c r="BG19" s="145"/>
      <c r="BH19" s="145"/>
      <c r="BI19" s="145"/>
      <c r="BJ19" s="145"/>
      <c r="BK19" s="145"/>
      <c r="BL19" s="145"/>
      <c r="BM19" s="145"/>
      <c r="BN19" s="177">
        <f t="shared" si="1"/>
        <v>0</v>
      </c>
      <c r="BO19" s="152">
        <f t="shared" si="1"/>
        <v>0</v>
      </c>
      <c r="BP19" s="147"/>
      <c r="BQ19" s="147"/>
      <c r="BR19" s="147"/>
      <c r="BS19" s="147"/>
      <c r="BT19" s="147"/>
      <c r="BU19" s="147"/>
      <c r="BV19" s="147"/>
      <c r="BW19" s="147"/>
      <c r="BX19" s="147"/>
      <c r="BY19" s="147"/>
      <c r="BZ19" s="147"/>
      <c r="CA19" s="147"/>
    </row>
    <row r="20" spans="1:79">
      <c r="A20" s="144" t="s">
        <v>275</v>
      </c>
      <c r="B20" s="144">
        <v>0</v>
      </c>
      <c r="C20" s="425">
        <v>0</v>
      </c>
      <c r="D20" s="144">
        <v>25</v>
      </c>
      <c r="E20" s="425">
        <f t="shared" si="12"/>
        <v>8578110</v>
      </c>
      <c r="F20" s="144">
        <v>25</v>
      </c>
      <c r="G20" s="425">
        <f t="shared" si="2"/>
        <v>8578110</v>
      </c>
      <c r="H20" s="144">
        <v>25</v>
      </c>
      <c r="I20" s="425">
        <f t="shared" si="3"/>
        <v>8578110</v>
      </c>
      <c r="J20" s="144">
        <v>25</v>
      </c>
      <c r="K20" s="425">
        <f t="shared" si="4"/>
        <v>8578110</v>
      </c>
      <c r="L20" s="144">
        <v>25</v>
      </c>
      <c r="M20" s="425">
        <f t="shared" si="5"/>
        <v>8578110</v>
      </c>
      <c r="N20" s="144">
        <v>25</v>
      </c>
      <c r="O20" s="424">
        <f t="shared" si="6"/>
        <v>8578110</v>
      </c>
      <c r="P20" s="145">
        <v>25</v>
      </c>
      <c r="Q20" s="424">
        <f t="shared" si="7"/>
        <v>8578110</v>
      </c>
      <c r="R20" s="145">
        <v>25</v>
      </c>
      <c r="S20" s="424">
        <f t="shared" si="8"/>
        <v>8578110</v>
      </c>
      <c r="T20" s="145">
        <v>25</v>
      </c>
      <c r="U20" s="424">
        <f t="shared" si="9"/>
        <v>8578110</v>
      </c>
      <c r="V20" s="145">
        <v>25</v>
      </c>
      <c r="W20" s="424">
        <f t="shared" si="10"/>
        <v>8578110</v>
      </c>
      <c r="X20" s="145">
        <v>10</v>
      </c>
      <c r="Y20" s="424">
        <f>343124.4*X20</f>
        <v>3431244</v>
      </c>
      <c r="Z20" s="177">
        <f t="shared" si="0"/>
        <v>260</v>
      </c>
      <c r="AA20" s="402">
        <f t="shared" si="0"/>
        <v>89212344</v>
      </c>
      <c r="AB20" s="176"/>
      <c r="AC20" s="176"/>
      <c r="AD20" s="176"/>
      <c r="AE20" s="176"/>
      <c r="AF20" s="176"/>
      <c r="AG20" s="147"/>
      <c r="AH20" s="147"/>
      <c r="AI20" s="147"/>
      <c r="AJ20" s="147"/>
      <c r="AK20" s="147"/>
      <c r="AL20" s="147"/>
      <c r="AM20" s="147"/>
      <c r="AO20" s="144" t="s">
        <v>275</v>
      </c>
      <c r="AP20" s="144"/>
      <c r="AQ20" s="144"/>
      <c r="AR20" s="144"/>
      <c r="AS20" s="144"/>
      <c r="AT20" s="144"/>
      <c r="AU20" s="144"/>
      <c r="AV20" s="144"/>
      <c r="AW20" s="144"/>
      <c r="AX20" s="144"/>
      <c r="AY20" s="144"/>
      <c r="AZ20" s="144"/>
      <c r="BA20" s="144"/>
      <c r="BB20" s="144"/>
      <c r="BC20" s="145"/>
      <c r="BD20" s="145"/>
      <c r="BE20" s="145"/>
      <c r="BF20" s="145"/>
      <c r="BG20" s="145"/>
      <c r="BH20" s="145"/>
      <c r="BI20" s="145"/>
      <c r="BJ20" s="145"/>
      <c r="BK20" s="145"/>
      <c r="BL20" s="145"/>
      <c r="BM20" s="145"/>
      <c r="BN20" s="177">
        <f t="shared" si="1"/>
        <v>0</v>
      </c>
      <c r="BO20" s="152">
        <f t="shared" si="1"/>
        <v>0</v>
      </c>
      <c r="BP20" s="147"/>
      <c r="BQ20" s="147"/>
      <c r="BR20" s="147"/>
      <c r="BS20" s="147"/>
      <c r="BT20" s="147"/>
      <c r="BU20" s="147"/>
      <c r="BV20" s="147"/>
      <c r="BW20" s="147"/>
      <c r="BX20" s="147"/>
      <c r="BY20" s="147"/>
      <c r="BZ20" s="147"/>
      <c r="CA20" s="147"/>
    </row>
    <row r="21" spans="1:79">
      <c r="A21" s="144" t="s">
        <v>276</v>
      </c>
      <c r="B21" s="144">
        <v>0</v>
      </c>
      <c r="C21" s="425">
        <v>0</v>
      </c>
      <c r="D21" s="144">
        <v>50</v>
      </c>
      <c r="E21" s="425">
        <f t="shared" si="12"/>
        <v>17156220</v>
      </c>
      <c r="F21" s="144">
        <v>60</v>
      </c>
      <c r="G21" s="425">
        <f t="shared" si="2"/>
        <v>20587464</v>
      </c>
      <c r="H21" s="144">
        <v>60</v>
      </c>
      <c r="I21" s="425">
        <f t="shared" si="3"/>
        <v>20587464</v>
      </c>
      <c r="J21" s="144">
        <v>60</v>
      </c>
      <c r="K21" s="425">
        <f t="shared" si="4"/>
        <v>20587464</v>
      </c>
      <c r="L21" s="144">
        <v>60</v>
      </c>
      <c r="M21" s="425">
        <f t="shared" si="5"/>
        <v>20587464</v>
      </c>
      <c r="N21" s="144">
        <v>60</v>
      </c>
      <c r="O21" s="424">
        <f t="shared" si="6"/>
        <v>20587464</v>
      </c>
      <c r="P21" s="145">
        <v>60</v>
      </c>
      <c r="Q21" s="424">
        <f t="shared" si="7"/>
        <v>20587464</v>
      </c>
      <c r="R21" s="145">
        <v>60</v>
      </c>
      <c r="S21" s="424">
        <f t="shared" si="8"/>
        <v>20587464</v>
      </c>
      <c r="T21" s="145">
        <v>60</v>
      </c>
      <c r="U21" s="424">
        <f t="shared" si="9"/>
        <v>20587464</v>
      </c>
      <c r="V21" s="145">
        <v>60</v>
      </c>
      <c r="W21" s="424">
        <f t="shared" si="10"/>
        <v>20587464</v>
      </c>
      <c r="X21" s="145">
        <v>11</v>
      </c>
      <c r="Y21" s="424">
        <f t="shared" si="13"/>
        <v>3774367.3</v>
      </c>
      <c r="Z21" s="177">
        <f t="shared" si="0"/>
        <v>601</v>
      </c>
      <c r="AA21" s="402">
        <f t="shared" si="0"/>
        <v>206217763.30000001</v>
      </c>
      <c r="AB21" s="176"/>
      <c r="AC21" s="176"/>
      <c r="AD21" s="176"/>
      <c r="AE21" s="176"/>
      <c r="AF21" s="176"/>
      <c r="AG21" s="147"/>
      <c r="AH21" s="147"/>
      <c r="AI21" s="147"/>
      <c r="AJ21" s="147"/>
      <c r="AK21" s="147"/>
      <c r="AL21" s="147"/>
      <c r="AM21" s="147"/>
      <c r="AO21" s="144" t="s">
        <v>276</v>
      </c>
      <c r="AP21" s="144"/>
      <c r="AQ21" s="144"/>
      <c r="AR21" s="144"/>
      <c r="AS21" s="144"/>
      <c r="AT21" s="144"/>
      <c r="AU21" s="144"/>
      <c r="AV21" s="144"/>
      <c r="AW21" s="144"/>
      <c r="AX21" s="144"/>
      <c r="AY21" s="144"/>
      <c r="AZ21" s="144"/>
      <c r="BA21" s="144"/>
      <c r="BB21" s="144"/>
      <c r="BC21" s="145"/>
      <c r="BD21" s="145"/>
      <c r="BE21" s="145"/>
      <c r="BF21" s="145"/>
      <c r="BG21" s="145"/>
      <c r="BH21" s="145"/>
      <c r="BI21" s="145"/>
      <c r="BJ21" s="145"/>
      <c r="BK21" s="145"/>
      <c r="BL21" s="145"/>
      <c r="BM21" s="145"/>
      <c r="BN21" s="177">
        <f t="shared" si="1"/>
        <v>0</v>
      </c>
      <c r="BO21" s="152">
        <f t="shared" si="1"/>
        <v>0</v>
      </c>
      <c r="BP21" s="147"/>
      <c r="BQ21" s="147"/>
      <c r="BR21" s="147"/>
      <c r="BS21" s="147"/>
      <c r="BT21" s="147"/>
      <c r="BU21" s="147"/>
      <c r="BV21" s="147"/>
      <c r="BW21" s="147"/>
      <c r="BX21" s="147"/>
      <c r="BY21" s="147"/>
      <c r="BZ21" s="147"/>
      <c r="CA21" s="147"/>
    </row>
    <row r="22" spans="1:79">
      <c r="A22" s="144" t="s">
        <v>277</v>
      </c>
      <c r="B22" s="144">
        <v>0</v>
      </c>
      <c r="C22" s="425">
        <v>0</v>
      </c>
      <c r="D22" s="144">
        <v>50</v>
      </c>
      <c r="E22" s="425">
        <f t="shared" si="12"/>
        <v>17156220</v>
      </c>
      <c r="F22" s="144">
        <v>70</v>
      </c>
      <c r="G22" s="425">
        <f t="shared" si="2"/>
        <v>24018708</v>
      </c>
      <c r="H22" s="144">
        <v>70</v>
      </c>
      <c r="I22" s="425">
        <f t="shared" si="3"/>
        <v>24018708</v>
      </c>
      <c r="J22" s="144">
        <v>70</v>
      </c>
      <c r="K22" s="425">
        <f t="shared" si="4"/>
        <v>24018708</v>
      </c>
      <c r="L22" s="144">
        <v>70</v>
      </c>
      <c r="M22" s="425">
        <f t="shared" si="5"/>
        <v>24018708</v>
      </c>
      <c r="N22" s="144">
        <v>70</v>
      </c>
      <c r="O22" s="424">
        <f t="shared" si="6"/>
        <v>24018708</v>
      </c>
      <c r="P22" s="145">
        <v>70</v>
      </c>
      <c r="Q22" s="424">
        <f t="shared" si="7"/>
        <v>24018708</v>
      </c>
      <c r="R22" s="145">
        <v>70</v>
      </c>
      <c r="S22" s="424">
        <f t="shared" si="8"/>
        <v>24018708</v>
      </c>
      <c r="T22" s="145">
        <v>70</v>
      </c>
      <c r="U22" s="424">
        <f t="shared" si="9"/>
        <v>24018708</v>
      </c>
      <c r="V22" s="145">
        <v>70</v>
      </c>
      <c r="W22" s="424">
        <f t="shared" si="10"/>
        <v>24018708</v>
      </c>
      <c r="X22" s="145">
        <v>11</v>
      </c>
      <c r="Y22" s="424">
        <f t="shared" si="13"/>
        <v>3774367.3</v>
      </c>
      <c r="Z22" s="177">
        <f t="shared" si="0"/>
        <v>691</v>
      </c>
      <c r="AA22" s="402">
        <f t="shared" si="0"/>
        <v>237098959.30000001</v>
      </c>
      <c r="AB22" s="176"/>
      <c r="AC22" s="176"/>
      <c r="AD22" s="176"/>
      <c r="AE22" s="176"/>
      <c r="AF22" s="176"/>
      <c r="AG22" s="147"/>
      <c r="AH22" s="147"/>
      <c r="AI22" s="147"/>
      <c r="AJ22" s="147"/>
      <c r="AK22" s="147"/>
      <c r="AL22" s="147"/>
      <c r="AM22" s="147"/>
      <c r="AO22" s="144" t="s">
        <v>277</v>
      </c>
      <c r="AP22" s="144"/>
      <c r="AQ22" s="144"/>
      <c r="AR22" s="144"/>
      <c r="AS22" s="144"/>
      <c r="AT22" s="144"/>
      <c r="AU22" s="144"/>
      <c r="AV22" s="144"/>
      <c r="AW22" s="144"/>
      <c r="AX22" s="144"/>
      <c r="AY22" s="144"/>
      <c r="AZ22" s="144"/>
      <c r="BA22" s="144"/>
      <c r="BB22" s="144"/>
      <c r="BC22" s="145"/>
      <c r="BD22" s="145"/>
      <c r="BE22" s="145"/>
      <c r="BF22" s="145"/>
      <c r="BG22" s="145"/>
      <c r="BH22" s="145"/>
      <c r="BI22" s="145"/>
      <c r="BJ22" s="145"/>
      <c r="BK22" s="145"/>
      <c r="BL22" s="145"/>
      <c r="BM22" s="145"/>
      <c r="BN22" s="177">
        <f t="shared" si="1"/>
        <v>0</v>
      </c>
      <c r="BO22" s="152">
        <f t="shared" si="1"/>
        <v>0</v>
      </c>
      <c r="BP22" s="147"/>
      <c r="BQ22" s="147"/>
      <c r="BR22" s="147"/>
      <c r="BS22" s="147"/>
      <c r="BT22" s="147"/>
      <c r="BU22" s="147"/>
      <c r="BV22" s="147"/>
      <c r="BW22" s="147"/>
      <c r="BX22" s="147"/>
      <c r="BY22" s="147"/>
      <c r="BZ22" s="147"/>
      <c r="CA22" s="147"/>
    </row>
    <row r="23" spans="1:79">
      <c r="A23" s="144" t="s">
        <v>278</v>
      </c>
      <c r="B23" s="144">
        <v>0</v>
      </c>
      <c r="C23" s="425">
        <v>0</v>
      </c>
      <c r="D23" s="144">
        <v>10</v>
      </c>
      <c r="E23" s="425">
        <f t="shared" si="12"/>
        <v>3431244</v>
      </c>
      <c r="F23" s="144">
        <v>10</v>
      </c>
      <c r="G23" s="425">
        <f t="shared" si="2"/>
        <v>3431244</v>
      </c>
      <c r="H23" s="144">
        <v>10</v>
      </c>
      <c r="I23" s="425">
        <f t="shared" si="3"/>
        <v>3431244</v>
      </c>
      <c r="J23" s="144">
        <v>10</v>
      </c>
      <c r="K23" s="425">
        <f t="shared" si="4"/>
        <v>3431244</v>
      </c>
      <c r="L23" s="144">
        <v>10</v>
      </c>
      <c r="M23" s="425">
        <f t="shared" si="5"/>
        <v>3431244</v>
      </c>
      <c r="N23" s="144">
        <v>10</v>
      </c>
      <c r="O23" s="424">
        <f t="shared" si="6"/>
        <v>3431244</v>
      </c>
      <c r="P23" s="145">
        <v>10</v>
      </c>
      <c r="Q23" s="424">
        <f t="shared" si="7"/>
        <v>3431244</v>
      </c>
      <c r="R23" s="145">
        <v>10</v>
      </c>
      <c r="S23" s="424">
        <f t="shared" si="8"/>
        <v>3431244</v>
      </c>
      <c r="T23" s="145">
        <v>10</v>
      </c>
      <c r="U23" s="424">
        <f t="shared" si="9"/>
        <v>3431244</v>
      </c>
      <c r="V23" s="145">
        <v>10</v>
      </c>
      <c r="W23" s="424">
        <f t="shared" si="10"/>
        <v>3431244</v>
      </c>
      <c r="X23" s="145">
        <v>10</v>
      </c>
      <c r="Y23" s="424">
        <f>343124.4*X23</f>
        <v>3431244</v>
      </c>
      <c r="Z23" s="177">
        <f t="shared" si="0"/>
        <v>110</v>
      </c>
      <c r="AA23" s="402">
        <f t="shared" si="0"/>
        <v>37743684</v>
      </c>
      <c r="AB23" s="176"/>
      <c r="AC23" s="176"/>
      <c r="AD23" s="176"/>
      <c r="AE23" s="176"/>
      <c r="AF23" s="176"/>
      <c r="AG23" s="147"/>
      <c r="AH23" s="147"/>
      <c r="AI23" s="147"/>
      <c r="AJ23" s="147"/>
      <c r="AK23" s="147"/>
      <c r="AL23" s="147"/>
      <c r="AM23" s="147"/>
      <c r="AO23" s="144" t="s">
        <v>278</v>
      </c>
      <c r="AP23" s="144"/>
      <c r="AQ23" s="144"/>
      <c r="AR23" s="144"/>
      <c r="AS23" s="144"/>
      <c r="AT23" s="144"/>
      <c r="AU23" s="144"/>
      <c r="AV23" s="144"/>
      <c r="AW23" s="144"/>
      <c r="AX23" s="144"/>
      <c r="AY23" s="144"/>
      <c r="AZ23" s="144"/>
      <c r="BA23" s="144"/>
      <c r="BB23" s="144"/>
      <c r="BC23" s="145"/>
      <c r="BD23" s="145"/>
      <c r="BE23" s="145"/>
      <c r="BF23" s="145"/>
      <c r="BG23" s="145"/>
      <c r="BH23" s="145"/>
      <c r="BI23" s="145"/>
      <c r="BJ23" s="145"/>
      <c r="BK23" s="145"/>
      <c r="BL23" s="145"/>
      <c r="BM23" s="145"/>
      <c r="BN23" s="177">
        <f t="shared" si="1"/>
        <v>0</v>
      </c>
      <c r="BO23" s="152">
        <f t="shared" si="1"/>
        <v>0</v>
      </c>
      <c r="BP23" s="147"/>
      <c r="BQ23" s="147"/>
      <c r="BR23" s="147"/>
      <c r="BS23" s="147"/>
      <c r="BT23" s="147"/>
      <c r="BU23" s="147"/>
      <c r="BV23" s="147"/>
      <c r="BW23" s="147"/>
      <c r="BX23" s="147"/>
      <c r="BY23" s="147"/>
      <c r="BZ23" s="147"/>
      <c r="CA23" s="147"/>
    </row>
    <row r="24" spans="1:79">
      <c r="A24" s="144" t="s">
        <v>279</v>
      </c>
      <c r="B24" s="144">
        <v>0</v>
      </c>
      <c r="C24" s="425">
        <v>0</v>
      </c>
      <c r="D24" s="144">
        <v>10</v>
      </c>
      <c r="E24" s="425">
        <f t="shared" si="12"/>
        <v>3431244</v>
      </c>
      <c r="F24" s="144">
        <v>10</v>
      </c>
      <c r="G24" s="425">
        <f t="shared" si="2"/>
        <v>3431244</v>
      </c>
      <c r="H24" s="144">
        <v>10</v>
      </c>
      <c r="I24" s="425">
        <f t="shared" si="3"/>
        <v>3431244</v>
      </c>
      <c r="J24" s="144">
        <v>10</v>
      </c>
      <c r="K24" s="425">
        <f t="shared" si="4"/>
        <v>3431244</v>
      </c>
      <c r="L24" s="144">
        <v>10</v>
      </c>
      <c r="M24" s="425">
        <f t="shared" si="5"/>
        <v>3431244</v>
      </c>
      <c r="N24" s="144">
        <v>10</v>
      </c>
      <c r="O24" s="424">
        <f t="shared" si="6"/>
        <v>3431244</v>
      </c>
      <c r="P24" s="145">
        <v>10</v>
      </c>
      <c r="Q24" s="424">
        <f t="shared" si="7"/>
        <v>3431244</v>
      </c>
      <c r="R24" s="145">
        <v>10</v>
      </c>
      <c r="S24" s="424">
        <f t="shared" si="8"/>
        <v>3431244</v>
      </c>
      <c r="T24" s="145">
        <v>10</v>
      </c>
      <c r="U24" s="424">
        <f t="shared" si="9"/>
        <v>3431244</v>
      </c>
      <c r="V24" s="145">
        <v>10</v>
      </c>
      <c r="W24" s="424">
        <f t="shared" si="10"/>
        <v>3431244</v>
      </c>
      <c r="X24" s="145">
        <v>10</v>
      </c>
      <c r="Y24" s="424">
        <f>343124.4*X24</f>
        <v>3431244</v>
      </c>
      <c r="Z24" s="177">
        <f t="shared" si="0"/>
        <v>110</v>
      </c>
      <c r="AA24" s="402">
        <f t="shared" si="0"/>
        <v>37743684</v>
      </c>
      <c r="AB24" s="176"/>
      <c r="AC24" s="176"/>
      <c r="AD24" s="176"/>
      <c r="AE24" s="176"/>
      <c r="AF24" s="176"/>
      <c r="AG24" s="147"/>
      <c r="AH24" s="147"/>
      <c r="AI24" s="147"/>
      <c r="AJ24" s="147"/>
      <c r="AK24" s="147"/>
      <c r="AL24" s="147"/>
      <c r="AM24" s="147"/>
      <c r="AO24" s="144" t="s">
        <v>279</v>
      </c>
      <c r="AP24" s="144"/>
      <c r="AQ24" s="144"/>
      <c r="AR24" s="144"/>
      <c r="AS24" s="144"/>
      <c r="AT24" s="144"/>
      <c r="AU24" s="144"/>
      <c r="AV24" s="144"/>
      <c r="AW24" s="144"/>
      <c r="AX24" s="144"/>
      <c r="AY24" s="144"/>
      <c r="AZ24" s="144"/>
      <c r="BA24" s="144"/>
      <c r="BB24" s="144"/>
      <c r="BC24" s="145"/>
      <c r="BD24" s="145"/>
      <c r="BE24" s="145"/>
      <c r="BF24" s="145"/>
      <c r="BG24" s="145"/>
      <c r="BH24" s="145"/>
      <c r="BI24" s="145"/>
      <c r="BJ24" s="145"/>
      <c r="BK24" s="145"/>
      <c r="BL24" s="145"/>
      <c r="BM24" s="145"/>
      <c r="BN24" s="177">
        <f t="shared" si="1"/>
        <v>0</v>
      </c>
      <c r="BO24" s="152">
        <f t="shared" si="1"/>
        <v>0</v>
      </c>
      <c r="BP24" s="147"/>
      <c r="BQ24" s="147"/>
      <c r="BR24" s="147"/>
      <c r="BS24" s="147"/>
      <c r="BT24" s="147"/>
      <c r="BU24" s="147"/>
      <c r="BV24" s="147"/>
      <c r="BW24" s="147"/>
      <c r="BX24" s="147"/>
      <c r="BY24" s="147"/>
      <c r="BZ24" s="147"/>
      <c r="CA24" s="147"/>
    </row>
    <row r="25" spans="1:79">
      <c r="A25" s="144" t="s">
        <v>280</v>
      </c>
      <c r="B25" s="144">
        <v>0</v>
      </c>
      <c r="C25" s="425">
        <v>0</v>
      </c>
      <c r="D25" s="144">
        <v>10</v>
      </c>
      <c r="E25" s="425">
        <f t="shared" si="12"/>
        <v>3431244</v>
      </c>
      <c r="F25" s="144">
        <v>10</v>
      </c>
      <c r="G25" s="425">
        <f t="shared" si="2"/>
        <v>3431244</v>
      </c>
      <c r="H25" s="144">
        <v>10</v>
      </c>
      <c r="I25" s="425">
        <f t="shared" si="3"/>
        <v>3431244</v>
      </c>
      <c r="J25" s="144">
        <v>10</v>
      </c>
      <c r="K25" s="425">
        <f t="shared" si="4"/>
        <v>3431244</v>
      </c>
      <c r="L25" s="144">
        <v>10</v>
      </c>
      <c r="M25" s="425">
        <f t="shared" si="5"/>
        <v>3431244</v>
      </c>
      <c r="N25" s="144">
        <v>10</v>
      </c>
      <c r="O25" s="424">
        <f t="shared" si="6"/>
        <v>3431244</v>
      </c>
      <c r="P25" s="145">
        <v>10</v>
      </c>
      <c r="Q25" s="424">
        <f t="shared" si="7"/>
        <v>3431244</v>
      </c>
      <c r="R25" s="145">
        <v>10</v>
      </c>
      <c r="S25" s="424">
        <f t="shared" si="8"/>
        <v>3431244</v>
      </c>
      <c r="T25" s="145">
        <v>10</v>
      </c>
      <c r="U25" s="424">
        <f t="shared" si="9"/>
        <v>3431244</v>
      </c>
      <c r="V25" s="145">
        <v>10</v>
      </c>
      <c r="W25" s="424">
        <f t="shared" si="10"/>
        <v>3431244</v>
      </c>
      <c r="X25" s="145">
        <v>10</v>
      </c>
      <c r="Y25" s="424">
        <f t="shared" si="13"/>
        <v>3431243</v>
      </c>
      <c r="Z25" s="177">
        <f t="shared" si="0"/>
        <v>110</v>
      </c>
      <c r="AA25" s="402">
        <f t="shared" si="0"/>
        <v>37743683</v>
      </c>
      <c r="AB25" s="176"/>
      <c r="AC25" s="176"/>
      <c r="AD25" s="176"/>
      <c r="AE25" s="176"/>
      <c r="AF25" s="176"/>
      <c r="AG25" s="147"/>
      <c r="AH25" s="147"/>
      <c r="AI25" s="147"/>
      <c r="AJ25" s="147"/>
      <c r="AK25" s="147"/>
      <c r="AL25" s="147"/>
      <c r="AM25" s="147"/>
      <c r="AO25" s="144" t="s">
        <v>280</v>
      </c>
      <c r="AP25" s="144"/>
      <c r="AQ25" s="144"/>
      <c r="AR25" s="144"/>
      <c r="AS25" s="144"/>
      <c r="AT25" s="144"/>
      <c r="AU25" s="144"/>
      <c r="AV25" s="144"/>
      <c r="AW25" s="144"/>
      <c r="AX25" s="144"/>
      <c r="AY25" s="144"/>
      <c r="AZ25" s="144"/>
      <c r="BA25" s="144"/>
      <c r="BB25" s="144"/>
      <c r="BC25" s="145"/>
      <c r="BD25" s="145"/>
      <c r="BE25" s="145"/>
      <c r="BF25" s="145"/>
      <c r="BG25" s="145"/>
      <c r="BH25" s="145"/>
      <c r="BI25" s="145"/>
      <c r="BJ25" s="145"/>
      <c r="BK25" s="145"/>
      <c r="BL25" s="145"/>
      <c r="BM25" s="145"/>
      <c r="BN25" s="177">
        <f t="shared" si="1"/>
        <v>0</v>
      </c>
      <c r="BO25" s="152">
        <f t="shared" si="1"/>
        <v>0</v>
      </c>
      <c r="BP25" s="147"/>
      <c r="BQ25" s="147"/>
      <c r="BR25" s="147"/>
      <c r="BS25" s="147"/>
      <c r="BT25" s="147"/>
      <c r="BU25" s="147"/>
      <c r="BV25" s="147"/>
      <c r="BW25" s="147"/>
      <c r="BX25" s="147"/>
      <c r="BY25" s="147"/>
      <c r="BZ25" s="147"/>
      <c r="CA25" s="147"/>
    </row>
    <row r="26" spans="1:79">
      <c r="A26" s="144" t="s">
        <v>281</v>
      </c>
      <c r="B26" s="144">
        <v>0</v>
      </c>
      <c r="C26" s="425">
        <v>0</v>
      </c>
      <c r="D26" s="144">
        <v>5</v>
      </c>
      <c r="E26" s="425">
        <f t="shared" si="12"/>
        <v>1715622</v>
      </c>
      <c r="F26" s="144">
        <v>5</v>
      </c>
      <c r="G26" s="425">
        <f t="shared" si="2"/>
        <v>1715622</v>
      </c>
      <c r="H26" s="144">
        <v>5</v>
      </c>
      <c r="I26" s="425">
        <f t="shared" si="3"/>
        <v>1715622</v>
      </c>
      <c r="J26" s="144">
        <v>5</v>
      </c>
      <c r="K26" s="425">
        <f t="shared" si="4"/>
        <v>1715622</v>
      </c>
      <c r="L26" s="144">
        <v>5</v>
      </c>
      <c r="M26" s="425">
        <f t="shared" si="5"/>
        <v>1715622</v>
      </c>
      <c r="N26" s="144">
        <v>5</v>
      </c>
      <c r="O26" s="424">
        <f t="shared" si="6"/>
        <v>1715622</v>
      </c>
      <c r="P26" s="145">
        <v>5</v>
      </c>
      <c r="Q26" s="424">
        <f t="shared" si="7"/>
        <v>1715622</v>
      </c>
      <c r="R26" s="145">
        <v>5</v>
      </c>
      <c r="S26" s="424">
        <f t="shared" si="8"/>
        <v>1715622</v>
      </c>
      <c r="T26" s="145">
        <v>5</v>
      </c>
      <c r="U26" s="424">
        <f t="shared" si="9"/>
        <v>1715622</v>
      </c>
      <c r="V26" s="145">
        <v>5</v>
      </c>
      <c r="W26" s="424">
        <f t="shared" si="10"/>
        <v>1715622</v>
      </c>
      <c r="X26" s="145">
        <v>10</v>
      </c>
      <c r="Y26" s="424">
        <f t="shared" si="13"/>
        <v>3431243</v>
      </c>
      <c r="Z26" s="177">
        <f t="shared" si="0"/>
        <v>60</v>
      </c>
      <c r="AA26" s="402">
        <f t="shared" si="0"/>
        <v>20587463</v>
      </c>
      <c r="AB26" s="176"/>
      <c r="AC26" s="176"/>
      <c r="AD26" s="176"/>
      <c r="AE26" s="176"/>
      <c r="AF26" s="176"/>
      <c r="AG26" s="147"/>
      <c r="AH26" s="147"/>
      <c r="AI26" s="147"/>
      <c r="AJ26" s="147"/>
      <c r="AK26" s="147"/>
      <c r="AL26" s="147"/>
      <c r="AM26" s="147"/>
      <c r="AO26" s="144" t="s">
        <v>281</v>
      </c>
      <c r="AP26" s="144"/>
      <c r="AQ26" s="144"/>
      <c r="AR26" s="144"/>
      <c r="AS26" s="144"/>
      <c r="AT26" s="144"/>
      <c r="AU26" s="144"/>
      <c r="AV26" s="144"/>
      <c r="AW26" s="144"/>
      <c r="AX26" s="144"/>
      <c r="AY26" s="144"/>
      <c r="AZ26" s="144"/>
      <c r="BA26" s="144"/>
      <c r="BB26" s="144"/>
      <c r="BC26" s="145"/>
      <c r="BD26" s="145"/>
      <c r="BE26" s="145"/>
      <c r="BF26" s="145"/>
      <c r="BG26" s="145"/>
      <c r="BH26" s="145"/>
      <c r="BI26" s="145"/>
      <c r="BJ26" s="145"/>
      <c r="BK26" s="145"/>
      <c r="BL26" s="145"/>
      <c r="BM26" s="145"/>
      <c r="BN26" s="177">
        <f t="shared" si="1"/>
        <v>0</v>
      </c>
      <c r="BO26" s="152">
        <f t="shared" si="1"/>
        <v>0</v>
      </c>
      <c r="BP26" s="147"/>
      <c r="BQ26" s="147"/>
      <c r="BR26" s="147"/>
      <c r="BS26" s="147"/>
      <c r="BT26" s="147"/>
      <c r="BU26" s="147"/>
      <c r="BV26" s="147"/>
      <c r="BW26" s="147"/>
      <c r="BX26" s="147"/>
      <c r="BY26" s="147"/>
      <c r="BZ26" s="147"/>
      <c r="CA26" s="147"/>
    </row>
    <row r="27" spans="1:79">
      <c r="A27" s="144" t="s">
        <v>282</v>
      </c>
      <c r="B27" s="144">
        <v>0</v>
      </c>
      <c r="C27" s="425">
        <v>0</v>
      </c>
      <c r="D27" s="144">
        <v>15</v>
      </c>
      <c r="E27" s="425">
        <f t="shared" si="12"/>
        <v>5146866</v>
      </c>
      <c r="F27" s="144">
        <v>15</v>
      </c>
      <c r="G27" s="425">
        <f t="shared" si="2"/>
        <v>5146866</v>
      </c>
      <c r="H27" s="144">
        <v>15</v>
      </c>
      <c r="I27" s="425">
        <f t="shared" si="3"/>
        <v>5146866</v>
      </c>
      <c r="J27" s="144">
        <v>15</v>
      </c>
      <c r="K27" s="425">
        <f t="shared" si="4"/>
        <v>5146866</v>
      </c>
      <c r="L27" s="144">
        <v>15</v>
      </c>
      <c r="M27" s="425">
        <f t="shared" si="5"/>
        <v>5146866</v>
      </c>
      <c r="N27" s="144">
        <v>15</v>
      </c>
      <c r="O27" s="424">
        <f t="shared" si="6"/>
        <v>5146866</v>
      </c>
      <c r="P27" s="145">
        <v>15</v>
      </c>
      <c r="Q27" s="424">
        <f t="shared" si="7"/>
        <v>5146866</v>
      </c>
      <c r="R27" s="145">
        <v>15</v>
      </c>
      <c r="S27" s="424">
        <f t="shared" si="8"/>
        <v>5146866</v>
      </c>
      <c r="T27" s="145">
        <v>15</v>
      </c>
      <c r="U27" s="424">
        <f t="shared" si="9"/>
        <v>5146866</v>
      </c>
      <c r="V27" s="145">
        <v>15</v>
      </c>
      <c r="W27" s="424">
        <f t="shared" si="10"/>
        <v>5146866</v>
      </c>
      <c r="X27" s="145">
        <v>10</v>
      </c>
      <c r="Y27" s="424">
        <f t="shared" si="13"/>
        <v>3431243</v>
      </c>
      <c r="Z27" s="177">
        <f t="shared" si="0"/>
        <v>160</v>
      </c>
      <c r="AA27" s="402">
        <f t="shared" si="0"/>
        <v>54899903</v>
      </c>
      <c r="AB27" s="176"/>
      <c r="AC27" s="176"/>
      <c r="AD27" s="176"/>
      <c r="AE27" s="176"/>
      <c r="AF27" s="176"/>
      <c r="AG27" s="147"/>
      <c r="AH27" s="147"/>
      <c r="AI27" s="147"/>
      <c r="AJ27" s="147"/>
      <c r="AK27" s="147"/>
      <c r="AL27" s="147"/>
      <c r="AM27" s="147"/>
      <c r="AO27" s="144" t="s">
        <v>282</v>
      </c>
      <c r="AP27" s="144"/>
      <c r="AQ27" s="144"/>
      <c r="AR27" s="144"/>
      <c r="AS27" s="144"/>
      <c r="AT27" s="144"/>
      <c r="AU27" s="144"/>
      <c r="AV27" s="144"/>
      <c r="AW27" s="144"/>
      <c r="AX27" s="144"/>
      <c r="AY27" s="144"/>
      <c r="AZ27" s="144"/>
      <c r="BA27" s="144"/>
      <c r="BB27" s="144"/>
      <c r="BC27" s="145"/>
      <c r="BD27" s="145"/>
      <c r="BE27" s="145"/>
      <c r="BF27" s="145"/>
      <c r="BG27" s="145"/>
      <c r="BH27" s="145"/>
      <c r="BI27" s="145"/>
      <c r="BJ27" s="145"/>
      <c r="BK27" s="145"/>
      <c r="BL27" s="145"/>
      <c r="BM27" s="145"/>
      <c r="BN27" s="177">
        <f t="shared" si="1"/>
        <v>0</v>
      </c>
      <c r="BO27" s="152">
        <f t="shared" si="1"/>
        <v>0</v>
      </c>
      <c r="BP27" s="147"/>
      <c r="BQ27" s="147"/>
      <c r="BR27" s="147"/>
      <c r="BS27" s="147"/>
      <c r="BT27" s="147"/>
      <c r="BU27" s="147"/>
      <c r="BV27" s="147"/>
      <c r="BW27" s="147"/>
      <c r="BX27" s="147"/>
      <c r="BY27" s="147"/>
      <c r="BZ27" s="147"/>
      <c r="CA27" s="147"/>
    </row>
    <row r="28" spans="1:79">
      <c r="A28" s="144" t="s">
        <v>283</v>
      </c>
      <c r="B28" s="144">
        <v>0</v>
      </c>
      <c r="C28" s="425">
        <v>0</v>
      </c>
      <c r="D28" s="144">
        <v>5</v>
      </c>
      <c r="E28" s="425">
        <f t="shared" si="12"/>
        <v>1715622</v>
      </c>
      <c r="F28" s="144">
        <v>5</v>
      </c>
      <c r="G28" s="425">
        <f t="shared" si="2"/>
        <v>1715622</v>
      </c>
      <c r="H28" s="144">
        <v>5</v>
      </c>
      <c r="I28" s="425">
        <f t="shared" si="3"/>
        <v>1715622</v>
      </c>
      <c r="J28" s="144">
        <v>5</v>
      </c>
      <c r="K28" s="425">
        <f t="shared" si="4"/>
        <v>1715622</v>
      </c>
      <c r="L28" s="144">
        <v>5</v>
      </c>
      <c r="M28" s="425">
        <f t="shared" si="5"/>
        <v>1715622</v>
      </c>
      <c r="N28" s="144">
        <v>5</v>
      </c>
      <c r="O28" s="424">
        <f t="shared" si="6"/>
        <v>1715622</v>
      </c>
      <c r="P28" s="145">
        <v>5</v>
      </c>
      <c r="Q28" s="424">
        <f t="shared" si="7"/>
        <v>1715622</v>
      </c>
      <c r="R28" s="145">
        <v>5</v>
      </c>
      <c r="S28" s="424">
        <f t="shared" si="8"/>
        <v>1715622</v>
      </c>
      <c r="T28" s="145">
        <v>5</v>
      </c>
      <c r="U28" s="424">
        <f t="shared" si="9"/>
        <v>1715622</v>
      </c>
      <c r="V28" s="145">
        <v>5</v>
      </c>
      <c r="W28" s="424">
        <f t="shared" si="10"/>
        <v>1715622</v>
      </c>
      <c r="X28" s="145">
        <v>10</v>
      </c>
      <c r="Y28" s="424">
        <f t="shared" si="13"/>
        <v>3431243</v>
      </c>
      <c r="Z28" s="177">
        <f t="shared" si="0"/>
        <v>60</v>
      </c>
      <c r="AA28" s="402">
        <f t="shared" si="0"/>
        <v>20587463</v>
      </c>
      <c r="AB28" s="176"/>
      <c r="AC28" s="176"/>
      <c r="AD28" s="176"/>
      <c r="AE28" s="176"/>
      <c r="AF28" s="176"/>
      <c r="AG28" s="147"/>
      <c r="AH28" s="147"/>
      <c r="AI28" s="147"/>
      <c r="AJ28" s="147"/>
      <c r="AK28" s="147"/>
      <c r="AL28" s="147"/>
      <c r="AM28" s="147"/>
      <c r="AO28" s="144" t="s">
        <v>283</v>
      </c>
      <c r="AP28" s="144"/>
      <c r="AQ28" s="144"/>
      <c r="AR28" s="144"/>
      <c r="AS28" s="144"/>
      <c r="AT28" s="144"/>
      <c r="AU28" s="144"/>
      <c r="AV28" s="144"/>
      <c r="AW28" s="144"/>
      <c r="AX28" s="144"/>
      <c r="AY28" s="144"/>
      <c r="AZ28" s="144"/>
      <c r="BA28" s="144"/>
      <c r="BB28" s="144"/>
      <c r="BC28" s="145"/>
      <c r="BD28" s="145"/>
      <c r="BE28" s="145"/>
      <c r="BF28" s="145"/>
      <c r="BG28" s="145"/>
      <c r="BH28" s="145"/>
      <c r="BI28" s="145"/>
      <c r="BJ28" s="145"/>
      <c r="BK28" s="145"/>
      <c r="BL28" s="145"/>
      <c r="BM28" s="145"/>
      <c r="BN28" s="177">
        <f t="shared" si="1"/>
        <v>0</v>
      </c>
      <c r="BO28" s="152">
        <f t="shared" si="1"/>
        <v>0</v>
      </c>
      <c r="BP28" s="147"/>
      <c r="BQ28" s="147"/>
      <c r="BR28" s="147"/>
      <c r="BS28" s="147"/>
      <c r="BT28" s="147"/>
      <c r="BU28" s="147"/>
      <c r="BV28" s="147"/>
      <c r="BW28" s="147"/>
      <c r="BX28" s="147"/>
      <c r="BY28" s="147"/>
      <c r="BZ28" s="147"/>
      <c r="CA28" s="147"/>
    </row>
    <row r="29" spans="1:79">
      <c r="A29" s="144" t="s">
        <v>284</v>
      </c>
      <c r="B29" s="144">
        <v>0</v>
      </c>
      <c r="C29" s="425">
        <v>0</v>
      </c>
      <c r="D29" s="144">
        <v>30</v>
      </c>
      <c r="E29" s="425">
        <f t="shared" si="12"/>
        <v>10293732</v>
      </c>
      <c r="F29" s="144">
        <v>55</v>
      </c>
      <c r="G29" s="425">
        <f t="shared" si="2"/>
        <v>18871842</v>
      </c>
      <c r="H29" s="144">
        <v>55</v>
      </c>
      <c r="I29" s="425">
        <f t="shared" si="3"/>
        <v>18871842</v>
      </c>
      <c r="J29" s="144">
        <v>55</v>
      </c>
      <c r="K29" s="425">
        <f t="shared" si="4"/>
        <v>18871842</v>
      </c>
      <c r="L29" s="144">
        <v>55</v>
      </c>
      <c r="M29" s="425">
        <f t="shared" si="5"/>
        <v>18871842</v>
      </c>
      <c r="N29" s="144">
        <v>55</v>
      </c>
      <c r="O29" s="424">
        <f t="shared" si="6"/>
        <v>18871842</v>
      </c>
      <c r="P29" s="145">
        <v>55</v>
      </c>
      <c r="Q29" s="424">
        <f t="shared" si="7"/>
        <v>18871842</v>
      </c>
      <c r="R29" s="145">
        <v>55</v>
      </c>
      <c r="S29" s="424">
        <f t="shared" si="8"/>
        <v>18871842</v>
      </c>
      <c r="T29" s="145">
        <v>55</v>
      </c>
      <c r="U29" s="424">
        <f t="shared" si="9"/>
        <v>18871842</v>
      </c>
      <c r="V29" s="145">
        <v>55</v>
      </c>
      <c r="W29" s="424">
        <f t="shared" si="10"/>
        <v>18871842</v>
      </c>
      <c r="X29" s="145">
        <v>11</v>
      </c>
      <c r="Y29" s="424">
        <f t="shared" si="13"/>
        <v>3774367.3</v>
      </c>
      <c r="Z29" s="177">
        <f t="shared" si="0"/>
        <v>536</v>
      </c>
      <c r="AA29" s="402">
        <f t="shared" si="0"/>
        <v>183914677.30000001</v>
      </c>
      <c r="AB29" s="176"/>
      <c r="AC29" s="176"/>
      <c r="AD29" s="176"/>
      <c r="AE29" s="176"/>
      <c r="AF29" s="176"/>
      <c r="AG29" s="147"/>
      <c r="AH29" s="147"/>
      <c r="AI29" s="147"/>
      <c r="AJ29" s="147"/>
      <c r="AK29" s="147"/>
      <c r="AL29" s="147"/>
      <c r="AM29" s="147"/>
      <c r="AO29" s="144" t="s">
        <v>284</v>
      </c>
      <c r="AP29" s="144"/>
      <c r="AQ29" s="144"/>
      <c r="AR29" s="144"/>
      <c r="AS29" s="144"/>
      <c r="AT29" s="144"/>
      <c r="AU29" s="144"/>
      <c r="AV29" s="144"/>
      <c r="AW29" s="144"/>
      <c r="AX29" s="144"/>
      <c r="AY29" s="144"/>
      <c r="AZ29" s="144"/>
      <c r="BA29" s="144"/>
      <c r="BB29" s="144"/>
      <c r="BC29" s="145"/>
      <c r="BD29" s="145"/>
      <c r="BE29" s="145"/>
      <c r="BF29" s="145"/>
      <c r="BG29" s="145"/>
      <c r="BH29" s="145"/>
      <c r="BI29" s="145"/>
      <c r="BJ29" s="145"/>
      <c r="BK29" s="145"/>
      <c r="BL29" s="145"/>
      <c r="BM29" s="145"/>
      <c r="BN29" s="177">
        <f t="shared" si="1"/>
        <v>0</v>
      </c>
      <c r="BO29" s="152">
        <f t="shared" si="1"/>
        <v>0</v>
      </c>
      <c r="BP29" s="147"/>
      <c r="BQ29" s="147"/>
      <c r="BR29" s="147"/>
      <c r="BS29" s="147"/>
      <c r="BT29" s="147"/>
      <c r="BU29" s="147"/>
      <c r="BV29" s="147"/>
      <c r="BW29" s="147"/>
      <c r="BX29" s="147"/>
      <c r="BY29" s="147"/>
      <c r="BZ29" s="147"/>
      <c r="CA29" s="147"/>
    </row>
    <row r="30" spans="1:79">
      <c r="A30" s="144" t="s">
        <v>285</v>
      </c>
      <c r="B30" s="144">
        <v>0</v>
      </c>
      <c r="C30" s="425">
        <v>0</v>
      </c>
      <c r="D30" s="144">
        <v>30</v>
      </c>
      <c r="E30" s="425">
        <f t="shared" si="12"/>
        <v>10293732</v>
      </c>
      <c r="F30" s="144">
        <v>55</v>
      </c>
      <c r="G30" s="425">
        <f t="shared" si="2"/>
        <v>18871842</v>
      </c>
      <c r="H30" s="144">
        <v>55</v>
      </c>
      <c r="I30" s="425">
        <f t="shared" si="3"/>
        <v>18871842</v>
      </c>
      <c r="J30" s="144">
        <v>55</v>
      </c>
      <c r="K30" s="425">
        <f t="shared" si="4"/>
        <v>18871842</v>
      </c>
      <c r="L30" s="144">
        <v>55</v>
      </c>
      <c r="M30" s="425">
        <f t="shared" si="5"/>
        <v>18871842</v>
      </c>
      <c r="N30" s="144">
        <v>55</v>
      </c>
      <c r="O30" s="424">
        <f t="shared" si="6"/>
        <v>18871842</v>
      </c>
      <c r="P30" s="145">
        <v>55</v>
      </c>
      <c r="Q30" s="424">
        <f t="shared" si="7"/>
        <v>18871842</v>
      </c>
      <c r="R30" s="145">
        <v>55</v>
      </c>
      <c r="S30" s="424">
        <f t="shared" si="8"/>
        <v>18871842</v>
      </c>
      <c r="T30" s="145">
        <v>55</v>
      </c>
      <c r="U30" s="424">
        <f t="shared" si="9"/>
        <v>18871842</v>
      </c>
      <c r="V30" s="145">
        <v>55</v>
      </c>
      <c r="W30" s="424">
        <f t="shared" si="10"/>
        <v>18871842</v>
      </c>
      <c r="X30" s="145">
        <v>11</v>
      </c>
      <c r="Y30" s="424">
        <f t="shared" si="13"/>
        <v>3774367.3</v>
      </c>
      <c r="Z30" s="177">
        <f t="shared" si="0"/>
        <v>536</v>
      </c>
      <c r="AA30" s="402">
        <f t="shared" si="0"/>
        <v>183914677.30000001</v>
      </c>
      <c r="AB30" s="176"/>
      <c r="AC30" s="176"/>
      <c r="AD30" s="176"/>
      <c r="AE30" s="176"/>
      <c r="AF30" s="176"/>
      <c r="AG30" s="147"/>
      <c r="AH30" s="147"/>
      <c r="AI30" s="147"/>
      <c r="AJ30" s="147"/>
      <c r="AK30" s="147"/>
      <c r="AL30" s="147"/>
      <c r="AM30" s="147"/>
      <c r="AO30" s="144" t="s">
        <v>285</v>
      </c>
      <c r="AP30" s="144"/>
      <c r="AQ30" s="144"/>
      <c r="AR30" s="144"/>
      <c r="AS30" s="144"/>
      <c r="AT30" s="144"/>
      <c r="AU30" s="144"/>
      <c r="AV30" s="144"/>
      <c r="AW30" s="144"/>
      <c r="AX30" s="144"/>
      <c r="AY30" s="144"/>
      <c r="AZ30" s="144"/>
      <c r="BA30" s="144"/>
      <c r="BB30" s="144"/>
      <c r="BC30" s="145"/>
      <c r="BD30" s="145"/>
      <c r="BE30" s="145"/>
      <c r="BF30" s="145"/>
      <c r="BG30" s="145"/>
      <c r="BH30" s="145"/>
      <c r="BI30" s="145"/>
      <c r="BJ30" s="145"/>
      <c r="BK30" s="145"/>
      <c r="BL30" s="145"/>
      <c r="BM30" s="145"/>
      <c r="BN30" s="177">
        <f t="shared" si="1"/>
        <v>0</v>
      </c>
      <c r="BO30" s="152">
        <f t="shared" si="1"/>
        <v>0</v>
      </c>
      <c r="BP30" s="147"/>
      <c r="BQ30" s="147"/>
      <c r="BR30" s="147"/>
      <c r="BS30" s="147"/>
      <c r="BT30" s="147"/>
      <c r="BU30" s="147"/>
      <c r="BV30" s="147"/>
      <c r="BW30" s="147"/>
      <c r="BX30" s="147"/>
      <c r="BY30" s="147"/>
      <c r="BZ30" s="147"/>
      <c r="CA30" s="147"/>
    </row>
    <row r="31" spans="1:79">
      <c r="A31" s="144" t="s">
        <v>286</v>
      </c>
      <c r="B31" s="144">
        <v>0</v>
      </c>
      <c r="C31" s="425">
        <v>0</v>
      </c>
      <c r="D31" s="144">
        <v>0</v>
      </c>
      <c r="E31" s="425">
        <f t="shared" ref="E31" si="14">360428.6*D31</f>
        <v>0</v>
      </c>
      <c r="F31" s="144">
        <v>2</v>
      </c>
      <c r="G31" s="425">
        <f t="shared" si="2"/>
        <v>686248.8</v>
      </c>
      <c r="H31" s="144">
        <v>2</v>
      </c>
      <c r="I31" s="425">
        <f t="shared" si="3"/>
        <v>686248.8</v>
      </c>
      <c r="J31" s="144">
        <v>2</v>
      </c>
      <c r="K31" s="425">
        <f t="shared" si="4"/>
        <v>686248.8</v>
      </c>
      <c r="L31" s="144">
        <v>2</v>
      </c>
      <c r="M31" s="425">
        <f t="shared" si="5"/>
        <v>686248.8</v>
      </c>
      <c r="N31" s="144">
        <v>2</v>
      </c>
      <c r="O31" s="424">
        <f t="shared" si="6"/>
        <v>686248.8</v>
      </c>
      <c r="P31" s="145">
        <v>2</v>
      </c>
      <c r="Q31" s="424">
        <f t="shared" si="7"/>
        <v>686248.8</v>
      </c>
      <c r="R31" s="145">
        <v>2</v>
      </c>
      <c r="S31" s="424">
        <f t="shared" si="8"/>
        <v>686248.8</v>
      </c>
      <c r="T31" s="145">
        <v>2</v>
      </c>
      <c r="U31" s="424">
        <f t="shared" si="9"/>
        <v>686248.8</v>
      </c>
      <c r="V31" s="145">
        <v>2</v>
      </c>
      <c r="W31" s="424">
        <f t="shared" si="10"/>
        <v>686248.8</v>
      </c>
      <c r="X31" s="145">
        <v>2</v>
      </c>
      <c r="Y31" s="424">
        <f t="shared" si="13"/>
        <v>686248.6</v>
      </c>
      <c r="Z31" s="177">
        <f t="shared" si="0"/>
        <v>20</v>
      </c>
      <c r="AA31" s="402">
        <f t="shared" si="0"/>
        <v>6862487.7999999989</v>
      </c>
      <c r="AB31" s="176"/>
      <c r="AC31" s="176"/>
      <c r="AD31" s="176"/>
      <c r="AE31" s="176"/>
      <c r="AF31" s="176"/>
      <c r="AG31" s="147"/>
      <c r="AH31" s="147"/>
      <c r="AI31" s="147"/>
      <c r="AJ31" s="147"/>
      <c r="AK31" s="147"/>
      <c r="AL31" s="147"/>
      <c r="AM31" s="147"/>
      <c r="AO31" s="144" t="s">
        <v>286</v>
      </c>
      <c r="AP31" s="144"/>
      <c r="AQ31" s="144"/>
      <c r="AR31" s="144"/>
      <c r="AS31" s="144"/>
      <c r="AT31" s="144"/>
      <c r="AU31" s="144"/>
      <c r="AV31" s="144"/>
      <c r="AW31" s="144"/>
      <c r="AX31" s="144"/>
      <c r="AY31" s="144"/>
      <c r="AZ31" s="144"/>
      <c r="BA31" s="144"/>
      <c r="BB31" s="144"/>
      <c r="BC31" s="145"/>
      <c r="BD31" s="145"/>
      <c r="BE31" s="145"/>
      <c r="BF31" s="145"/>
      <c r="BG31" s="145"/>
      <c r="BH31" s="145"/>
      <c r="BI31" s="145"/>
      <c r="BJ31" s="145"/>
      <c r="BK31" s="145"/>
      <c r="BL31" s="145"/>
      <c r="BM31" s="145"/>
      <c r="BN31" s="177">
        <f t="shared" si="1"/>
        <v>0</v>
      </c>
      <c r="BO31" s="152">
        <f t="shared" si="1"/>
        <v>0</v>
      </c>
      <c r="BP31" s="147"/>
      <c r="BQ31" s="147"/>
      <c r="BR31" s="147"/>
      <c r="BS31" s="147"/>
      <c r="BT31" s="147"/>
      <c r="BU31" s="147"/>
      <c r="BV31" s="147"/>
      <c r="BW31" s="147"/>
      <c r="BX31" s="147"/>
      <c r="BY31" s="147"/>
      <c r="BZ31" s="147"/>
      <c r="CA31" s="147"/>
    </row>
    <row r="32" spans="1:79">
      <c r="A32" s="149" t="s">
        <v>287</v>
      </c>
      <c r="B32" s="146">
        <f>SUM(B11:B31)</f>
        <v>0</v>
      </c>
      <c r="C32" s="146">
        <f t="shared" ref="C32:AM32" si="15">SUM(C11:C31)</f>
        <v>0</v>
      </c>
      <c r="D32" s="146">
        <f t="shared" si="15"/>
        <v>500</v>
      </c>
      <c r="E32" s="146">
        <f t="shared" si="15"/>
        <v>171562200</v>
      </c>
      <c r="F32" s="146">
        <f t="shared" si="15"/>
        <v>700</v>
      </c>
      <c r="G32" s="146">
        <f t="shared" si="15"/>
        <v>240187080</v>
      </c>
      <c r="H32" s="146">
        <f t="shared" si="15"/>
        <v>700</v>
      </c>
      <c r="I32" s="146">
        <f t="shared" si="15"/>
        <v>240187080</v>
      </c>
      <c r="J32" s="146">
        <f t="shared" si="15"/>
        <v>700</v>
      </c>
      <c r="K32" s="146">
        <f t="shared" si="15"/>
        <v>240187080</v>
      </c>
      <c r="L32" s="146">
        <f t="shared" si="15"/>
        <v>700</v>
      </c>
      <c r="M32" s="146">
        <f t="shared" si="15"/>
        <v>240187080</v>
      </c>
      <c r="N32" s="146">
        <f t="shared" si="15"/>
        <v>700</v>
      </c>
      <c r="O32" s="146">
        <f t="shared" si="15"/>
        <v>240187080</v>
      </c>
      <c r="P32" s="146">
        <f t="shared" si="15"/>
        <v>700</v>
      </c>
      <c r="Q32" s="146">
        <f t="shared" si="15"/>
        <v>240187080</v>
      </c>
      <c r="R32" s="146">
        <f t="shared" si="15"/>
        <v>700</v>
      </c>
      <c r="S32" s="146">
        <f t="shared" si="15"/>
        <v>240187080</v>
      </c>
      <c r="T32" s="146">
        <f t="shared" si="15"/>
        <v>700</v>
      </c>
      <c r="U32" s="412">
        <f t="shared" si="15"/>
        <v>240187080</v>
      </c>
      <c r="V32" s="146">
        <f t="shared" si="15"/>
        <v>700</v>
      </c>
      <c r="W32" s="146">
        <f t="shared" si="15"/>
        <v>240187080</v>
      </c>
      <c r="X32" s="146">
        <f t="shared" si="15"/>
        <v>200</v>
      </c>
      <c r="Y32" s="146">
        <f t="shared" si="15"/>
        <v>68624866.999999985</v>
      </c>
      <c r="Z32" s="146">
        <f t="shared" si="15"/>
        <v>7000</v>
      </c>
      <c r="AA32" s="402">
        <f t="shared" si="15"/>
        <v>2401870787.0000005</v>
      </c>
      <c r="AB32" s="146">
        <f t="shared" si="15"/>
        <v>0</v>
      </c>
      <c r="AC32" s="146">
        <f t="shared" si="15"/>
        <v>0</v>
      </c>
      <c r="AD32" s="146">
        <f t="shared" si="15"/>
        <v>0</v>
      </c>
      <c r="AE32" s="146">
        <f t="shared" si="15"/>
        <v>0</v>
      </c>
      <c r="AF32" s="146">
        <f t="shared" si="15"/>
        <v>0</v>
      </c>
      <c r="AG32" s="146">
        <f t="shared" si="15"/>
        <v>0</v>
      </c>
      <c r="AH32" s="146">
        <f t="shared" si="15"/>
        <v>0</v>
      </c>
      <c r="AI32" s="146">
        <f t="shared" si="15"/>
        <v>0</v>
      </c>
      <c r="AJ32" s="146">
        <f t="shared" si="15"/>
        <v>0</v>
      </c>
      <c r="AK32" s="146">
        <f t="shared" si="15"/>
        <v>0</v>
      </c>
      <c r="AL32" s="146">
        <f t="shared" si="15"/>
        <v>0</v>
      </c>
      <c r="AM32" s="146">
        <f t="shared" si="15"/>
        <v>0</v>
      </c>
      <c r="AO32" s="149" t="s">
        <v>287</v>
      </c>
      <c r="AP32" s="146">
        <f t="shared" ref="AP32:BB32" si="16">SUM(AP11:AP31)</f>
        <v>0</v>
      </c>
      <c r="AQ32" s="146">
        <f t="shared" si="16"/>
        <v>0</v>
      </c>
      <c r="AR32" s="146">
        <f t="shared" si="16"/>
        <v>0</v>
      </c>
      <c r="AS32" s="146">
        <f t="shared" si="16"/>
        <v>0</v>
      </c>
      <c r="AT32" s="146">
        <f t="shared" si="16"/>
        <v>0</v>
      </c>
      <c r="AU32" s="146">
        <f t="shared" si="16"/>
        <v>0</v>
      </c>
      <c r="AV32" s="146">
        <f t="shared" si="16"/>
        <v>0</v>
      </c>
      <c r="AW32" s="146">
        <f t="shared" si="16"/>
        <v>0</v>
      </c>
      <c r="AX32" s="146">
        <f t="shared" si="16"/>
        <v>0</v>
      </c>
      <c r="AY32" s="146">
        <f t="shared" si="16"/>
        <v>0</v>
      </c>
      <c r="AZ32" s="146">
        <f t="shared" si="16"/>
        <v>0</v>
      </c>
      <c r="BA32" s="146">
        <f t="shared" si="16"/>
        <v>0</v>
      </c>
      <c r="BB32" s="146">
        <f t="shared" si="16"/>
        <v>0</v>
      </c>
      <c r="BC32" s="146">
        <f>SUM(BC11:BC31)</f>
        <v>0</v>
      </c>
      <c r="BD32" s="146">
        <f t="shared" ref="BD32:CA32" si="17">SUM(BD11:BD31)</f>
        <v>0</v>
      </c>
      <c r="BE32" s="146">
        <f t="shared" si="17"/>
        <v>0</v>
      </c>
      <c r="BF32" s="146">
        <f t="shared" si="17"/>
        <v>0</v>
      </c>
      <c r="BG32" s="146">
        <f t="shared" si="17"/>
        <v>0</v>
      </c>
      <c r="BH32" s="146">
        <f t="shared" si="17"/>
        <v>0</v>
      </c>
      <c r="BI32" s="146">
        <f t="shared" si="17"/>
        <v>0</v>
      </c>
      <c r="BJ32" s="146">
        <f t="shared" si="17"/>
        <v>0</v>
      </c>
      <c r="BK32" s="146">
        <f t="shared" si="17"/>
        <v>0</v>
      </c>
      <c r="BL32" s="146">
        <f t="shared" si="17"/>
        <v>0</v>
      </c>
      <c r="BM32" s="146">
        <f t="shared" si="17"/>
        <v>0</v>
      </c>
      <c r="BN32" s="178">
        <f t="shared" si="17"/>
        <v>0</v>
      </c>
      <c r="BO32" s="153">
        <f t="shared" si="17"/>
        <v>0</v>
      </c>
      <c r="BP32" s="146">
        <f t="shared" si="17"/>
        <v>0</v>
      </c>
      <c r="BQ32" s="146">
        <f t="shared" si="17"/>
        <v>0</v>
      </c>
      <c r="BR32" s="146">
        <f t="shared" si="17"/>
        <v>0</v>
      </c>
      <c r="BS32" s="146">
        <f t="shared" si="17"/>
        <v>0</v>
      </c>
      <c r="BT32" s="146">
        <f t="shared" si="17"/>
        <v>0</v>
      </c>
      <c r="BU32" s="146">
        <f t="shared" si="17"/>
        <v>0</v>
      </c>
      <c r="BV32" s="146">
        <f t="shared" si="17"/>
        <v>0</v>
      </c>
      <c r="BW32" s="146">
        <f t="shared" si="17"/>
        <v>0</v>
      </c>
      <c r="BX32" s="146">
        <f t="shared" si="17"/>
        <v>0</v>
      </c>
      <c r="BY32" s="146">
        <f t="shared" si="17"/>
        <v>0</v>
      </c>
      <c r="BZ32" s="146">
        <f t="shared" si="17"/>
        <v>0</v>
      </c>
      <c r="CA32" s="146">
        <f t="shared" si="17"/>
        <v>0</v>
      </c>
    </row>
    <row r="34" spans="1:79" ht="28.5">
      <c r="A34" s="150" t="s">
        <v>246</v>
      </c>
      <c r="B34" s="922"/>
      <c r="C34" s="922"/>
      <c r="D34" s="922"/>
      <c r="E34" s="922"/>
      <c r="F34" s="922"/>
      <c r="G34" s="922"/>
      <c r="H34" s="922"/>
      <c r="I34" s="922"/>
      <c r="J34" s="922"/>
      <c r="K34" s="922"/>
      <c r="L34" s="922"/>
      <c r="M34" s="922"/>
      <c r="N34" s="922"/>
      <c r="O34" s="922"/>
      <c r="P34" s="922"/>
      <c r="Q34" s="922"/>
      <c r="R34" s="922"/>
      <c r="S34" s="922"/>
      <c r="T34" s="922"/>
      <c r="U34" s="922"/>
      <c r="V34" s="922"/>
      <c r="W34" s="922"/>
      <c r="X34" s="922"/>
      <c r="Y34" s="922"/>
      <c r="Z34" s="922"/>
      <c r="AA34" s="922"/>
      <c r="AB34" s="922"/>
      <c r="AC34" s="922"/>
      <c r="AD34" s="922"/>
      <c r="AE34" s="922"/>
      <c r="AF34" s="922"/>
      <c r="AG34" s="922"/>
      <c r="AH34" s="922"/>
      <c r="AI34" s="922"/>
      <c r="AJ34" s="922"/>
      <c r="AK34" s="922"/>
      <c r="AL34" s="922"/>
      <c r="AM34" s="922"/>
      <c r="AN34" s="922"/>
      <c r="AO34" s="922"/>
      <c r="AP34" s="922"/>
      <c r="AQ34" s="922"/>
      <c r="AR34" s="922"/>
      <c r="AS34" s="922"/>
      <c r="AT34" s="922"/>
      <c r="AU34" s="922"/>
      <c r="AV34" s="922"/>
      <c r="AW34" s="922"/>
      <c r="AX34" s="922"/>
      <c r="AY34" s="922"/>
      <c r="AZ34" s="922"/>
      <c r="BA34" s="922"/>
      <c r="BB34" s="922"/>
      <c r="BC34" s="922"/>
      <c r="BD34" s="922"/>
      <c r="BE34" s="922"/>
      <c r="BF34" s="922"/>
      <c r="BG34" s="922"/>
      <c r="BH34" s="922"/>
      <c r="BI34" s="922"/>
      <c r="BJ34" s="922"/>
      <c r="BK34" s="922"/>
      <c r="BL34" s="922"/>
      <c r="BM34" s="922"/>
      <c r="BN34" s="922"/>
      <c r="BO34" s="922"/>
      <c r="BP34" s="922"/>
      <c r="BQ34" s="922"/>
      <c r="BR34" s="922"/>
      <c r="BS34" s="922"/>
      <c r="BT34" s="922"/>
      <c r="BU34" s="922"/>
      <c r="BV34" s="922"/>
      <c r="BW34" s="922"/>
      <c r="BX34" s="922"/>
      <c r="BY34" s="922"/>
      <c r="BZ34" s="922"/>
      <c r="CA34" s="922"/>
    </row>
    <row r="35" spans="1:79" ht="29.1" customHeight="1">
      <c r="A35" s="151" t="s">
        <v>247</v>
      </c>
      <c r="B35" s="923" t="s">
        <v>1094</v>
      </c>
      <c r="C35" s="924"/>
      <c r="D35" s="924"/>
      <c r="E35" s="924"/>
      <c r="F35" s="924"/>
      <c r="G35" s="924"/>
      <c r="H35" s="924"/>
      <c r="I35" s="924"/>
      <c r="J35" s="924"/>
      <c r="K35" s="924"/>
      <c r="L35" s="924"/>
      <c r="M35" s="924"/>
      <c r="N35" s="924"/>
      <c r="O35" s="924"/>
      <c r="P35" s="924"/>
      <c r="Q35" s="924"/>
      <c r="R35" s="924"/>
      <c r="S35" s="924"/>
      <c r="T35" s="924"/>
      <c r="U35" s="924"/>
      <c r="V35" s="924"/>
      <c r="W35" s="924"/>
      <c r="X35" s="924"/>
      <c r="Y35" s="924"/>
      <c r="Z35" s="924"/>
      <c r="AA35" s="924"/>
      <c r="AB35" s="924"/>
      <c r="AC35" s="924"/>
      <c r="AD35" s="924"/>
      <c r="AE35" s="924"/>
      <c r="AF35" s="924"/>
      <c r="AG35" s="924"/>
      <c r="AH35" s="924"/>
      <c r="AI35" s="924"/>
      <c r="AJ35" s="924"/>
      <c r="AK35" s="924"/>
      <c r="AL35" s="924"/>
      <c r="AM35" s="924"/>
      <c r="AN35" s="924"/>
      <c r="AO35" s="924"/>
      <c r="AP35" s="924"/>
      <c r="AQ35" s="924"/>
      <c r="AR35" s="924"/>
      <c r="AS35" s="924"/>
      <c r="AT35" s="924"/>
      <c r="AU35" s="924"/>
      <c r="AV35" s="924"/>
      <c r="AW35" s="924"/>
      <c r="AX35" s="924"/>
      <c r="AY35" s="924"/>
      <c r="AZ35" s="924"/>
      <c r="BA35" s="924"/>
      <c r="BB35" s="924"/>
      <c r="BC35" s="924"/>
      <c r="BD35" s="924"/>
      <c r="BE35" s="924"/>
      <c r="BF35" s="924"/>
      <c r="BG35" s="924"/>
      <c r="BH35" s="924"/>
      <c r="BI35" s="924"/>
      <c r="BJ35" s="924"/>
      <c r="BK35" s="924"/>
      <c r="BL35" s="924"/>
      <c r="BM35" s="924"/>
      <c r="BN35" s="924"/>
      <c r="BO35" s="924"/>
      <c r="BP35" s="924"/>
      <c r="BQ35" s="924"/>
      <c r="BR35" s="924"/>
      <c r="BS35" s="924"/>
      <c r="BT35" s="924"/>
      <c r="BU35" s="924"/>
      <c r="BV35" s="924"/>
      <c r="BW35" s="924"/>
      <c r="BX35" s="924"/>
      <c r="BY35" s="924"/>
      <c r="BZ35" s="924"/>
      <c r="CA35" s="925"/>
    </row>
    <row r="36" spans="1:79" ht="6" customHeight="1">
      <c r="A36" s="141"/>
      <c r="B36" s="141"/>
      <c r="C36" s="141"/>
      <c r="D36" s="141"/>
      <c r="E36" s="141"/>
      <c r="F36" s="141"/>
      <c r="G36" s="141"/>
      <c r="H36" s="141"/>
      <c r="I36" s="141"/>
      <c r="J36" s="141"/>
      <c r="K36" s="141"/>
      <c r="L36" s="141"/>
      <c r="M36" s="141"/>
      <c r="N36" s="141"/>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O36" s="141"/>
      <c r="AP36" s="142"/>
      <c r="AQ36" s="142"/>
      <c r="AR36" s="142"/>
      <c r="AS36" s="142"/>
      <c r="AT36" s="142"/>
      <c r="AU36" s="142"/>
      <c r="AV36" s="142"/>
      <c r="AW36" s="142"/>
      <c r="AX36" s="142"/>
      <c r="AY36" s="142"/>
      <c r="AZ36" s="142"/>
      <c r="BA36" s="142"/>
    </row>
    <row r="37" spans="1:79" ht="30" customHeight="1">
      <c r="A37" s="920" t="s">
        <v>248</v>
      </c>
      <c r="B37" s="917" t="s">
        <v>29</v>
      </c>
      <c r="C37" s="919"/>
      <c r="D37" s="917" t="s">
        <v>30</v>
      </c>
      <c r="E37" s="919"/>
      <c r="F37" s="917" t="s">
        <v>31</v>
      </c>
      <c r="G37" s="919"/>
      <c r="H37" s="917" t="s">
        <v>32</v>
      </c>
      <c r="I37" s="919"/>
      <c r="J37" s="917" t="s">
        <v>33</v>
      </c>
      <c r="K37" s="919"/>
      <c r="L37" s="917" t="s">
        <v>34</v>
      </c>
      <c r="M37" s="919"/>
      <c r="N37" s="917" t="s">
        <v>35</v>
      </c>
      <c r="O37" s="919"/>
      <c r="P37" s="917" t="s">
        <v>36</v>
      </c>
      <c r="Q37" s="919"/>
      <c r="R37" s="917" t="s">
        <v>37</v>
      </c>
      <c r="S37" s="919"/>
      <c r="T37" s="917" t="s">
        <v>38</v>
      </c>
      <c r="U37" s="919"/>
      <c r="V37" s="917" t="s">
        <v>39</v>
      </c>
      <c r="W37" s="919"/>
      <c r="X37" s="917" t="s">
        <v>40</v>
      </c>
      <c r="Y37" s="919"/>
      <c r="Z37" s="917" t="s">
        <v>249</v>
      </c>
      <c r="AA37" s="919"/>
      <c r="AB37" s="917" t="s">
        <v>250</v>
      </c>
      <c r="AC37" s="918"/>
      <c r="AD37" s="918"/>
      <c r="AE37" s="918"/>
      <c r="AF37" s="918"/>
      <c r="AG37" s="919"/>
      <c r="AH37" s="917" t="s">
        <v>251</v>
      </c>
      <c r="AI37" s="918"/>
      <c r="AJ37" s="918"/>
      <c r="AK37" s="918"/>
      <c r="AL37" s="918"/>
      <c r="AM37" s="919"/>
      <c r="AO37" s="920" t="s">
        <v>248</v>
      </c>
      <c r="AP37" s="917" t="s">
        <v>29</v>
      </c>
      <c r="AQ37" s="919"/>
      <c r="AR37" s="917" t="s">
        <v>30</v>
      </c>
      <c r="AS37" s="919"/>
      <c r="AT37" s="917" t="s">
        <v>31</v>
      </c>
      <c r="AU37" s="919"/>
      <c r="AV37" s="917" t="s">
        <v>32</v>
      </c>
      <c r="AW37" s="919"/>
      <c r="AX37" s="917" t="s">
        <v>33</v>
      </c>
      <c r="AY37" s="919"/>
      <c r="AZ37" s="917" t="s">
        <v>34</v>
      </c>
      <c r="BA37" s="919"/>
      <c r="BB37" s="917" t="s">
        <v>35</v>
      </c>
      <c r="BC37" s="919"/>
      <c r="BD37" s="917" t="s">
        <v>36</v>
      </c>
      <c r="BE37" s="919"/>
      <c r="BF37" s="917" t="s">
        <v>37</v>
      </c>
      <c r="BG37" s="919"/>
      <c r="BH37" s="917" t="s">
        <v>38</v>
      </c>
      <c r="BI37" s="919"/>
      <c r="BJ37" s="917" t="s">
        <v>39</v>
      </c>
      <c r="BK37" s="919"/>
      <c r="BL37" s="917" t="s">
        <v>40</v>
      </c>
      <c r="BM37" s="919"/>
      <c r="BN37" s="917" t="s">
        <v>249</v>
      </c>
      <c r="BO37" s="919"/>
      <c r="BP37" s="917" t="s">
        <v>250</v>
      </c>
      <c r="BQ37" s="918"/>
      <c r="BR37" s="918"/>
      <c r="BS37" s="918"/>
      <c r="BT37" s="918"/>
      <c r="BU37" s="919"/>
      <c r="BV37" s="917" t="s">
        <v>251</v>
      </c>
      <c r="BW37" s="918"/>
      <c r="BX37" s="918"/>
      <c r="BY37" s="918"/>
      <c r="BZ37" s="918"/>
      <c r="CA37" s="919"/>
    </row>
    <row r="38" spans="1:79" ht="51.95" customHeight="1">
      <c r="A38" s="921"/>
      <c r="B38" s="181" t="s">
        <v>252</v>
      </c>
      <c r="C38" s="181" t="s">
        <v>253</v>
      </c>
      <c r="D38" s="181" t="s">
        <v>252</v>
      </c>
      <c r="E38" s="181" t="s">
        <v>253</v>
      </c>
      <c r="F38" s="181" t="s">
        <v>252</v>
      </c>
      <c r="G38" s="181" t="s">
        <v>253</v>
      </c>
      <c r="H38" s="181" t="s">
        <v>252</v>
      </c>
      <c r="I38" s="181" t="s">
        <v>253</v>
      </c>
      <c r="J38" s="181" t="s">
        <v>252</v>
      </c>
      <c r="K38" s="181" t="s">
        <v>253</v>
      </c>
      <c r="L38" s="181" t="s">
        <v>252</v>
      </c>
      <c r="M38" s="181" t="s">
        <v>253</v>
      </c>
      <c r="N38" s="181" t="s">
        <v>252</v>
      </c>
      <c r="O38" s="181" t="s">
        <v>253</v>
      </c>
      <c r="P38" s="181" t="s">
        <v>252</v>
      </c>
      <c r="Q38" s="181" t="s">
        <v>253</v>
      </c>
      <c r="R38" s="181" t="s">
        <v>252</v>
      </c>
      <c r="S38" s="181" t="s">
        <v>253</v>
      </c>
      <c r="T38" s="181" t="s">
        <v>252</v>
      </c>
      <c r="U38" s="181" t="s">
        <v>253</v>
      </c>
      <c r="V38" s="181" t="s">
        <v>252</v>
      </c>
      <c r="W38" s="181" t="s">
        <v>253</v>
      </c>
      <c r="X38" s="181" t="s">
        <v>252</v>
      </c>
      <c r="Y38" s="181" t="s">
        <v>253</v>
      </c>
      <c r="Z38" s="181" t="s">
        <v>252</v>
      </c>
      <c r="AA38" s="181" t="s">
        <v>253</v>
      </c>
      <c r="AB38" s="174" t="s">
        <v>254</v>
      </c>
      <c r="AC38" s="174" t="s">
        <v>255</v>
      </c>
      <c r="AD38" s="174" t="s">
        <v>256</v>
      </c>
      <c r="AE38" s="174" t="s">
        <v>257</v>
      </c>
      <c r="AF38" s="175" t="s">
        <v>258</v>
      </c>
      <c r="AG38" s="174" t="s">
        <v>259</v>
      </c>
      <c r="AH38" s="181" t="s">
        <v>260</v>
      </c>
      <c r="AI38" s="143" t="s">
        <v>261</v>
      </c>
      <c r="AJ38" s="181" t="s">
        <v>262</v>
      </c>
      <c r="AK38" s="181" t="s">
        <v>263</v>
      </c>
      <c r="AL38" s="181" t="s">
        <v>264</v>
      </c>
      <c r="AM38" s="181" t="s">
        <v>265</v>
      </c>
      <c r="AO38" s="921"/>
      <c r="AP38" s="181" t="s">
        <v>252</v>
      </c>
      <c r="AQ38" s="181" t="s">
        <v>253</v>
      </c>
      <c r="AR38" s="181" t="s">
        <v>252</v>
      </c>
      <c r="AS38" s="181" t="s">
        <v>253</v>
      </c>
      <c r="AT38" s="181" t="s">
        <v>252</v>
      </c>
      <c r="AU38" s="181" t="s">
        <v>253</v>
      </c>
      <c r="AV38" s="181" t="s">
        <v>252</v>
      </c>
      <c r="AW38" s="181" t="s">
        <v>253</v>
      </c>
      <c r="AX38" s="181" t="s">
        <v>252</v>
      </c>
      <c r="AY38" s="181" t="s">
        <v>253</v>
      </c>
      <c r="AZ38" s="181" t="s">
        <v>252</v>
      </c>
      <c r="BA38" s="181" t="s">
        <v>253</v>
      </c>
      <c r="BB38" s="181" t="s">
        <v>252</v>
      </c>
      <c r="BC38" s="181" t="s">
        <v>253</v>
      </c>
      <c r="BD38" s="181" t="s">
        <v>252</v>
      </c>
      <c r="BE38" s="181" t="s">
        <v>253</v>
      </c>
      <c r="BF38" s="181" t="s">
        <v>252</v>
      </c>
      <c r="BG38" s="181" t="s">
        <v>253</v>
      </c>
      <c r="BH38" s="181" t="s">
        <v>252</v>
      </c>
      <c r="BI38" s="181" t="s">
        <v>253</v>
      </c>
      <c r="BJ38" s="181" t="s">
        <v>252</v>
      </c>
      <c r="BK38" s="181" t="s">
        <v>253</v>
      </c>
      <c r="BL38" s="181" t="s">
        <v>252</v>
      </c>
      <c r="BM38" s="181" t="s">
        <v>253</v>
      </c>
      <c r="BN38" s="181" t="s">
        <v>252</v>
      </c>
      <c r="BO38" s="181" t="s">
        <v>253</v>
      </c>
      <c r="BP38" s="174" t="s">
        <v>254</v>
      </c>
      <c r="BQ38" s="174" t="s">
        <v>255</v>
      </c>
      <c r="BR38" s="174" t="s">
        <v>256</v>
      </c>
      <c r="BS38" s="174" t="s">
        <v>257</v>
      </c>
      <c r="BT38" s="175" t="s">
        <v>258</v>
      </c>
      <c r="BU38" s="174" t="s">
        <v>259</v>
      </c>
      <c r="BV38" s="181" t="s">
        <v>260</v>
      </c>
      <c r="BW38" s="143" t="s">
        <v>261</v>
      </c>
      <c r="BX38" s="181" t="s">
        <v>262</v>
      </c>
      <c r="BY38" s="181" t="s">
        <v>263</v>
      </c>
      <c r="BZ38" s="181" t="s">
        <v>264</v>
      </c>
      <c r="CA38" s="181" t="s">
        <v>265</v>
      </c>
    </row>
    <row r="39" spans="1:79">
      <c r="A39" s="144" t="s">
        <v>266</v>
      </c>
      <c r="B39" s="144"/>
      <c r="C39" s="425">
        <v>20050667</v>
      </c>
      <c r="D39" s="144"/>
      <c r="E39" s="425">
        <v>54590000</v>
      </c>
      <c r="F39" s="144"/>
      <c r="G39" s="425">
        <v>54590000</v>
      </c>
      <c r="H39" s="144"/>
      <c r="I39" s="425">
        <v>54590000</v>
      </c>
      <c r="J39" s="144"/>
      <c r="K39" s="425">
        <v>54590000</v>
      </c>
      <c r="L39" s="144"/>
      <c r="M39" s="425">
        <v>54590000</v>
      </c>
      <c r="N39" s="144"/>
      <c r="O39" s="424">
        <v>54590000</v>
      </c>
      <c r="P39" s="145"/>
      <c r="Q39" s="424">
        <v>54590000</v>
      </c>
      <c r="R39" s="145"/>
      <c r="S39" s="424">
        <v>54590000</v>
      </c>
      <c r="T39" s="145"/>
      <c r="U39" s="424">
        <v>54590000</v>
      </c>
      <c r="V39" s="145"/>
      <c r="W39" s="424">
        <v>54590000</v>
      </c>
      <c r="X39" s="145"/>
      <c r="Y39" s="424">
        <v>34539333</v>
      </c>
      <c r="Z39" s="177">
        <f>B39+D39+F39+H39+J39+L39+N39+P39+R39+T39+V39+X39</f>
        <v>0</v>
      </c>
      <c r="AA39" s="152">
        <f t="shared" ref="Z39:AA59" si="18">C39+E39+G39+I39+K39+M39+O39+Q39+S39+U39+W39+Y39</f>
        <v>600490000</v>
      </c>
      <c r="AB39" s="147"/>
      <c r="AC39" s="147"/>
      <c r="AD39" s="147"/>
      <c r="AE39" s="147"/>
      <c r="AF39" s="147"/>
      <c r="AG39" s="147"/>
      <c r="AH39" s="147"/>
      <c r="AI39" s="147"/>
      <c r="AJ39" s="147"/>
      <c r="AK39" s="147"/>
      <c r="AL39" s="147"/>
      <c r="AM39" s="148"/>
      <c r="AO39" s="144" t="s">
        <v>266</v>
      </c>
      <c r="AP39" s="144"/>
      <c r="AQ39" s="144"/>
      <c r="AR39" s="144"/>
      <c r="AS39" s="144"/>
      <c r="AT39" s="144"/>
      <c r="AU39" s="144"/>
      <c r="AV39" s="144"/>
      <c r="AW39" s="144"/>
      <c r="AX39" s="144"/>
      <c r="AY39" s="144"/>
      <c r="AZ39" s="144"/>
      <c r="BA39" s="144"/>
      <c r="BB39" s="144"/>
      <c r="BC39" s="145"/>
      <c r="BD39" s="145"/>
      <c r="BE39" s="145"/>
      <c r="BF39" s="145"/>
      <c r="BG39" s="145"/>
      <c r="BH39" s="145"/>
      <c r="BI39" s="145"/>
      <c r="BJ39" s="145"/>
      <c r="BK39" s="145"/>
      <c r="BL39" s="145"/>
      <c r="BM39" s="145"/>
      <c r="BN39" s="177">
        <f>AP39+AR39+AT39+AV39+AX39+AZ39+BB39+BD39+BF39+BH39+BJ39+BL39</f>
        <v>0</v>
      </c>
      <c r="BO39" s="152">
        <f>AQ39+AS39+AU39+AW39+AY39+BA39+BC39+BE39+BG39+BI39+BK39+BM39</f>
        <v>0</v>
      </c>
      <c r="BP39" s="176"/>
      <c r="BQ39" s="176"/>
      <c r="BR39" s="176"/>
      <c r="BS39" s="176"/>
      <c r="BT39" s="147"/>
      <c r="BU39" s="147"/>
      <c r="BV39" s="147"/>
      <c r="BW39" s="147"/>
      <c r="BX39" s="147"/>
      <c r="BY39" s="147"/>
      <c r="BZ39" s="147"/>
      <c r="CA39" s="148"/>
    </row>
    <row r="40" spans="1:79">
      <c r="A40" s="144" t="s">
        <v>267</v>
      </c>
      <c r="B40" s="144"/>
      <c r="D40" s="144"/>
      <c r="F40" s="144"/>
      <c r="H40" s="144"/>
      <c r="J40" s="144"/>
      <c r="L40" s="144"/>
      <c r="N40" s="144"/>
      <c r="P40" s="145"/>
      <c r="R40" s="145"/>
      <c r="T40" s="145"/>
      <c r="V40" s="145"/>
      <c r="X40" s="145"/>
      <c r="Z40" s="177">
        <f t="shared" si="18"/>
        <v>0</v>
      </c>
      <c r="AA40" s="152">
        <f t="shared" si="18"/>
        <v>0</v>
      </c>
      <c r="AB40" s="147"/>
      <c r="AC40" s="147"/>
      <c r="AD40" s="147"/>
      <c r="AE40" s="147"/>
      <c r="AF40" s="147"/>
      <c r="AG40" s="147"/>
      <c r="AH40" s="147"/>
      <c r="AI40" s="147"/>
      <c r="AJ40" s="147"/>
      <c r="AK40" s="147"/>
      <c r="AL40" s="147"/>
      <c r="AM40" s="147"/>
      <c r="AO40" s="144" t="s">
        <v>267</v>
      </c>
      <c r="AP40" s="144"/>
      <c r="AQ40" s="144"/>
      <c r="AR40" s="144"/>
      <c r="AS40" s="144"/>
      <c r="AT40" s="144"/>
      <c r="AU40" s="144"/>
      <c r="AV40" s="144"/>
      <c r="AW40" s="144"/>
      <c r="AX40" s="144"/>
      <c r="AY40" s="144"/>
      <c r="AZ40" s="144"/>
      <c r="BA40" s="144"/>
      <c r="BB40" s="144"/>
      <c r="BC40" s="145"/>
      <c r="BD40" s="145"/>
      <c r="BE40" s="145"/>
      <c r="BF40" s="145"/>
      <c r="BG40" s="145"/>
      <c r="BH40" s="145"/>
      <c r="BI40" s="145"/>
      <c r="BJ40" s="145"/>
      <c r="BK40" s="145"/>
      <c r="BL40" s="145"/>
      <c r="BM40" s="145"/>
      <c r="BN40" s="177">
        <f t="shared" ref="BN40:BO59" si="19">AP40+AR40+AT40+AV40+AX40+AZ40+BB40+BD40+BF40+BH40+BJ40+BL40</f>
        <v>0</v>
      </c>
      <c r="BO40" s="152">
        <f t="shared" si="19"/>
        <v>0</v>
      </c>
      <c r="BP40" s="176"/>
      <c r="BQ40" s="176"/>
      <c r="BR40" s="176"/>
      <c r="BS40" s="176"/>
      <c r="BT40" s="147"/>
      <c r="BU40" s="147"/>
      <c r="BV40" s="147"/>
      <c r="BW40" s="147"/>
      <c r="BX40" s="147"/>
      <c r="BY40" s="147"/>
      <c r="BZ40" s="147"/>
      <c r="CA40" s="147"/>
    </row>
    <row r="41" spans="1:79">
      <c r="A41" s="144" t="s">
        <v>268</v>
      </c>
      <c r="B41" s="144"/>
      <c r="C41" s="144"/>
      <c r="D41" s="144"/>
      <c r="E41" s="144"/>
      <c r="F41" s="144"/>
      <c r="G41" s="144"/>
      <c r="H41" s="144"/>
      <c r="I41" s="144"/>
      <c r="J41" s="144"/>
      <c r="K41" s="144"/>
      <c r="L41" s="144"/>
      <c r="M41" s="144"/>
      <c r="N41" s="144"/>
      <c r="O41" s="145"/>
      <c r="P41" s="145"/>
      <c r="Q41" s="145"/>
      <c r="R41" s="145"/>
      <c r="S41" s="145"/>
      <c r="T41" s="145"/>
      <c r="U41" s="145"/>
      <c r="V41" s="145"/>
      <c r="W41" s="145"/>
      <c r="X41" s="145"/>
      <c r="Y41" s="145"/>
      <c r="Z41" s="177">
        <f t="shared" si="18"/>
        <v>0</v>
      </c>
      <c r="AA41" s="152">
        <f t="shared" si="18"/>
        <v>0</v>
      </c>
      <c r="AB41" s="147"/>
      <c r="AC41" s="147"/>
      <c r="AD41" s="147"/>
      <c r="AE41" s="147"/>
      <c r="AF41" s="147"/>
      <c r="AG41" s="147"/>
      <c r="AH41" s="147"/>
      <c r="AI41" s="147"/>
      <c r="AJ41" s="147"/>
      <c r="AK41" s="147"/>
      <c r="AL41" s="147"/>
      <c r="AM41" s="147"/>
      <c r="AO41" s="144" t="s">
        <v>268</v>
      </c>
      <c r="AP41" s="144"/>
      <c r="AQ41" s="144"/>
      <c r="AR41" s="144"/>
      <c r="AS41" s="144"/>
      <c r="AT41" s="144"/>
      <c r="AU41" s="144"/>
      <c r="AV41" s="144"/>
      <c r="AW41" s="144"/>
      <c r="AX41" s="144"/>
      <c r="AY41" s="144"/>
      <c r="AZ41" s="144"/>
      <c r="BA41" s="144"/>
      <c r="BB41" s="144"/>
      <c r="BC41" s="145"/>
      <c r="BD41" s="145"/>
      <c r="BE41" s="145"/>
      <c r="BF41" s="145"/>
      <c r="BG41" s="145"/>
      <c r="BH41" s="145"/>
      <c r="BI41" s="145"/>
      <c r="BJ41" s="145"/>
      <c r="BK41" s="145"/>
      <c r="BL41" s="145"/>
      <c r="BM41" s="145"/>
      <c r="BN41" s="177">
        <f t="shared" si="19"/>
        <v>0</v>
      </c>
      <c r="BO41" s="152">
        <f t="shared" si="19"/>
        <v>0</v>
      </c>
      <c r="BP41" s="176"/>
      <c r="BQ41" s="176"/>
      <c r="BR41" s="176"/>
      <c r="BS41" s="176"/>
      <c r="BT41" s="147"/>
      <c r="BU41" s="147"/>
      <c r="BV41" s="147"/>
      <c r="BW41" s="147"/>
      <c r="BX41" s="147"/>
      <c r="BY41" s="147"/>
      <c r="BZ41" s="147"/>
      <c r="CA41" s="147"/>
    </row>
    <row r="42" spans="1:79">
      <c r="A42" s="144" t="s">
        <v>269</v>
      </c>
      <c r="B42" s="144"/>
      <c r="C42" s="144"/>
      <c r="D42" s="144"/>
      <c r="E42" s="144"/>
      <c r="F42" s="144"/>
      <c r="G42" s="144"/>
      <c r="H42" s="144"/>
      <c r="I42" s="144"/>
      <c r="J42" s="144"/>
      <c r="K42" s="144"/>
      <c r="L42" s="144"/>
      <c r="M42" s="144"/>
      <c r="N42" s="144"/>
      <c r="O42" s="145"/>
      <c r="P42" s="145"/>
      <c r="Q42" s="145"/>
      <c r="R42" s="145"/>
      <c r="S42" s="145"/>
      <c r="T42" s="145"/>
      <c r="U42" s="145"/>
      <c r="V42" s="145"/>
      <c r="W42" s="145"/>
      <c r="X42" s="145"/>
      <c r="Y42" s="145"/>
      <c r="Z42" s="177">
        <f t="shared" si="18"/>
        <v>0</v>
      </c>
      <c r="AA42" s="152">
        <f t="shared" si="18"/>
        <v>0</v>
      </c>
      <c r="AB42" s="147"/>
      <c r="AC42" s="147"/>
      <c r="AD42" s="147"/>
      <c r="AE42" s="147"/>
      <c r="AF42" s="147"/>
      <c r="AG42" s="147"/>
      <c r="AH42" s="147"/>
      <c r="AI42" s="147"/>
      <c r="AJ42" s="147"/>
      <c r="AK42" s="147"/>
      <c r="AL42" s="147"/>
      <c r="AM42" s="147"/>
      <c r="AO42" s="144" t="s">
        <v>269</v>
      </c>
      <c r="AP42" s="144"/>
      <c r="AQ42" s="144"/>
      <c r="AR42" s="144"/>
      <c r="AS42" s="144"/>
      <c r="AT42" s="144"/>
      <c r="AU42" s="144"/>
      <c r="AV42" s="144"/>
      <c r="AW42" s="144"/>
      <c r="AX42" s="144"/>
      <c r="AY42" s="144"/>
      <c r="AZ42" s="144"/>
      <c r="BA42" s="144"/>
      <c r="BB42" s="144"/>
      <c r="BC42" s="145"/>
      <c r="BD42" s="145"/>
      <c r="BE42" s="145"/>
      <c r="BF42" s="145"/>
      <c r="BG42" s="145"/>
      <c r="BH42" s="145"/>
      <c r="BI42" s="145"/>
      <c r="BJ42" s="145"/>
      <c r="BK42" s="145"/>
      <c r="BL42" s="145"/>
      <c r="BM42" s="145"/>
      <c r="BN42" s="177">
        <f t="shared" si="19"/>
        <v>0</v>
      </c>
      <c r="BO42" s="152">
        <f t="shared" si="19"/>
        <v>0</v>
      </c>
      <c r="BP42" s="176"/>
      <c r="BQ42" s="176"/>
      <c r="BR42" s="176"/>
      <c r="BS42" s="176"/>
      <c r="BT42" s="147"/>
      <c r="BU42" s="147"/>
      <c r="BV42" s="147"/>
      <c r="BW42" s="147"/>
      <c r="BX42" s="147"/>
      <c r="BY42" s="147"/>
      <c r="BZ42" s="147"/>
      <c r="CA42" s="147"/>
    </row>
    <row r="43" spans="1:79">
      <c r="A43" s="144" t="s">
        <v>270</v>
      </c>
      <c r="B43" s="144"/>
      <c r="C43" s="144"/>
      <c r="D43" s="144"/>
      <c r="E43" s="144"/>
      <c r="F43" s="144"/>
      <c r="G43" s="144"/>
      <c r="H43" s="144"/>
      <c r="I43" s="144"/>
      <c r="J43" s="144"/>
      <c r="K43" s="144"/>
      <c r="L43" s="144"/>
      <c r="M43" s="144"/>
      <c r="N43" s="144"/>
      <c r="O43" s="145"/>
      <c r="P43" s="145"/>
      <c r="Q43" s="145"/>
      <c r="R43" s="145"/>
      <c r="S43" s="145"/>
      <c r="T43" s="145"/>
      <c r="U43" s="145"/>
      <c r="V43" s="145"/>
      <c r="W43" s="145"/>
      <c r="X43" s="145"/>
      <c r="Y43" s="145"/>
      <c r="Z43" s="177">
        <f t="shared" si="18"/>
        <v>0</v>
      </c>
      <c r="AA43" s="152">
        <f t="shared" si="18"/>
        <v>0</v>
      </c>
      <c r="AB43" s="147"/>
      <c r="AC43" s="147"/>
      <c r="AD43" s="147"/>
      <c r="AE43" s="147"/>
      <c r="AF43" s="147"/>
      <c r="AG43" s="147"/>
      <c r="AH43" s="147"/>
      <c r="AI43" s="147"/>
      <c r="AJ43" s="147"/>
      <c r="AK43" s="147"/>
      <c r="AL43" s="147"/>
      <c r="AM43" s="147"/>
      <c r="AO43" s="144" t="s">
        <v>270</v>
      </c>
      <c r="AP43" s="144"/>
      <c r="AQ43" s="144"/>
      <c r="AR43" s="144"/>
      <c r="AS43" s="144"/>
      <c r="AT43" s="144"/>
      <c r="AU43" s="144"/>
      <c r="AV43" s="144"/>
      <c r="AW43" s="144"/>
      <c r="AX43" s="144"/>
      <c r="AY43" s="144"/>
      <c r="AZ43" s="144"/>
      <c r="BA43" s="144"/>
      <c r="BB43" s="144"/>
      <c r="BC43" s="145"/>
      <c r="BD43" s="145"/>
      <c r="BE43" s="145"/>
      <c r="BF43" s="145"/>
      <c r="BG43" s="145"/>
      <c r="BH43" s="145"/>
      <c r="BI43" s="145"/>
      <c r="BJ43" s="145"/>
      <c r="BK43" s="145"/>
      <c r="BL43" s="145"/>
      <c r="BM43" s="145"/>
      <c r="BN43" s="177">
        <f t="shared" si="19"/>
        <v>0</v>
      </c>
      <c r="BO43" s="152">
        <f t="shared" si="19"/>
        <v>0</v>
      </c>
      <c r="BP43" s="176"/>
      <c r="BQ43" s="176"/>
      <c r="BR43" s="176"/>
      <c r="BS43" s="176"/>
      <c r="BT43" s="147"/>
      <c r="BU43" s="147"/>
      <c r="BV43" s="147"/>
      <c r="BW43" s="147"/>
      <c r="BX43" s="147"/>
      <c r="BY43" s="147"/>
      <c r="BZ43" s="147"/>
      <c r="CA43" s="147"/>
    </row>
    <row r="44" spans="1:79">
      <c r="A44" s="144" t="s">
        <v>271</v>
      </c>
      <c r="B44" s="144"/>
      <c r="C44" s="144"/>
      <c r="D44" s="144"/>
      <c r="E44" s="144"/>
      <c r="F44" s="144"/>
      <c r="G44" s="144"/>
      <c r="H44" s="144"/>
      <c r="I44" s="144"/>
      <c r="J44" s="144"/>
      <c r="K44" s="144"/>
      <c r="L44" s="144"/>
      <c r="M44" s="144"/>
      <c r="N44" s="144"/>
      <c r="O44" s="145"/>
      <c r="P44" s="145"/>
      <c r="Q44" s="145"/>
      <c r="R44" s="145"/>
      <c r="S44" s="145"/>
      <c r="T44" s="145"/>
      <c r="U44" s="145"/>
      <c r="V44" s="145"/>
      <c r="W44" s="145"/>
      <c r="X44" s="145"/>
      <c r="Y44" s="145"/>
      <c r="Z44" s="177">
        <f t="shared" si="18"/>
        <v>0</v>
      </c>
      <c r="AA44" s="152">
        <f t="shared" si="18"/>
        <v>0</v>
      </c>
      <c r="AB44" s="147"/>
      <c r="AC44" s="147"/>
      <c r="AD44" s="147"/>
      <c r="AE44" s="147"/>
      <c r="AF44" s="147"/>
      <c r="AG44" s="147"/>
      <c r="AH44" s="147"/>
      <c r="AI44" s="147"/>
      <c r="AJ44" s="147"/>
      <c r="AK44" s="147"/>
      <c r="AL44" s="147"/>
      <c r="AM44" s="147"/>
      <c r="AO44" s="144" t="s">
        <v>271</v>
      </c>
      <c r="AP44" s="144"/>
      <c r="AQ44" s="144"/>
      <c r="AR44" s="144"/>
      <c r="AS44" s="144"/>
      <c r="AT44" s="144"/>
      <c r="AU44" s="144"/>
      <c r="AV44" s="144"/>
      <c r="AW44" s="144"/>
      <c r="AX44" s="144"/>
      <c r="AY44" s="144"/>
      <c r="AZ44" s="144"/>
      <c r="BA44" s="144"/>
      <c r="BB44" s="144"/>
      <c r="BC44" s="145"/>
      <c r="BD44" s="145"/>
      <c r="BE44" s="145"/>
      <c r="BF44" s="145"/>
      <c r="BG44" s="145"/>
      <c r="BH44" s="145"/>
      <c r="BI44" s="145"/>
      <c r="BJ44" s="145"/>
      <c r="BK44" s="145"/>
      <c r="BL44" s="145"/>
      <c r="BM44" s="145"/>
      <c r="BN44" s="177">
        <f t="shared" si="19"/>
        <v>0</v>
      </c>
      <c r="BO44" s="152">
        <f t="shared" si="19"/>
        <v>0</v>
      </c>
      <c r="BP44" s="176"/>
      <c r="BQ44" s="176"/>
      <c r="BR44" s="176"/>
      <c r="BS44" s="176"/>
      <c r="BT44" s="147"/>
      <c r="BU44" s="147"/>
      <c r="BV44" s="147"/>
      <c r="BW44" s="147"/>
      <c r="BX44" s="147"/>
      <c r="BY44" s="147"/>
      <c r="BZ44" s="147"/>
      <c r="CA44" s="147"/>
    </row>
    <row r="45" spans="1:79">
      <c r="A45" s="144" t="s">
        <v>272</v>
      </c>
      <c r="B45" s="144"/>
      <c r="C45" s="144"/>
      <c r="D45" s="144"/>
      <c r="E45" s="144"/>
      <c r="F45" s="144"/>
      <c r="G45" s="144"/>
      <c r="H45" s="144"/>
      <c r="I45" s="144"/>
      <c r="J45" s="144"/>
      <c r="K45" s="144"/>
      <c r="L45" s="144"/>
      <c r="M45" s="144"/>
      <c r="N45" s="144"/>
      <c r="O45" s="145"/>
      <c r="P45" s="145"/>
      <c r="Q45" s="145"/>
      <c r="R45" s="145"/>
      <c r="S45" s="145"/>
      <c r="T45" s="145"/>
      <c r="U45" s="145"/>
      <c r="V45" s="145"/>
      <c r="W45" s="145"/>
      <c r="X45" s="145"/>
      <c r="Y45" s="145"/>
      <c r="Z45" s="177">
        <f t="shared" si="18"/>
        <v>0</v>
      </c>
      <c r="AA45" s="152">
        <f t="shared" si="18"/>
        <v>0</v>
      </c>
      <c r="AB45" s="147"/>
      <c r="AC45" s="147"/>
      <c r="AD45" s="147"/>
      <c r="AE45" s="147"/>
      <c r="AF45" s="147"/>
      <c r="AG45" s="147"/>
      <c r="AH45" s="147"/>
      <c r="AI45" s="147"/>
      <c r="AJ45" s="147"/>
      <c r="AK45" s="147"/>
      <c r="AL45" s="147"/>
      <c r="AM45" s="147"/>
      <c r="AO45" s="144" t="s">
        <v>272</v>
      </c>
      <c r="AP45" s="144"/>
      <c r="AQ45" s="144"/>
      <c r="AR45" s="144"/>
      <c r="AS45" s="144"/>
      <c r="AT45" s="144"/>
      <c r="AU45" s="144"/>
      <c r="AV45" s="144"/>
      <c r="AW45" s="144"/>
      <c r="AX45" s="144"/>
      <c r="AY45" s="144"/>
      <c r="AZ45" s="144"/>
      <c r="BA45" s="144"/>
      <c r="BB45" s="144"/>
      <c r="BC45" s="145"/>
      <c r="BD45" s="145"/>
      <c r="BE45" s="145"/>
      <c r="BF45" s="145"/>
      <c r="BG45" s="145"/>
      <c r="BH45" s="145"/>
      <c r="BI45" s="145"/>
      <c r="BJ45" s="145"/>
      <c r="BK45" s="145"/>
      <c r="BL45" s="145"/>
      <c r="BM45" s="145"/>
      <c r="BN45" s="177">
        <f t="shared" si="19"/>
        <v>0</v>
      </c>
      <c r="BO45" s="152">
        <f t="shared" si="19"/>
        <v>0</v>
      </c>
      <c r="BP45" s="176"/>
      <c r="BQ45" s="176"/>
      <c r="BR45" s="176"/>
      <c r="BS45" s="176"/>
      <c r="BT45" s="147"/>
      <c r="BU45" s="147"/>
      <c r="BV45" s="147"/>
      <c r="BW45" s="147"/>
      <c r="BX45" s="147"/>
      <c r="BY45" s="147"/>
      <c r="BZ45" s="147"/>
      <c r="CA45" s="147"/>
    </row>
    <row r="46" spans="1:79">
      <c r="A46" s="144" t="s">
        <v>273</v>
      </c>
      <c r="B46" s="144"/>
      <c r="C46" s="144"/>
      <c r="D46" s="144"/>
      <c r="E46" s="144"/>
      <c r="F46" s="144"/>
      <c r="G46" s="144"/>
      <c r="H46" s="144"/>
      <c r="I46" s="144"/>
      <c r="J46" s="144"/>
      <c r="K46" s="144"/>
      <c r="L46" s="144"/>
      <c r="M46" s="144"/>
      <c r="N46" s="144"/>
      <c r="O46" s="145"/>
      <c r="P46" s="145"/>
      <c r="Q46" s="145"/>
      <c r="R46" s="145"/>
      <c r="S46" s="145"/>
      <c r="T46" s="145"/>
      <c r="U46" s="145"/>
      <c r="V46" s="145"/>
      <c r="W46" s="145"/>
      <c r="X46" s="145"/>
      <c r="Y46" s="145"/>
      <c r="Z46" s="177">
        <f t="shared" si="18"/>
        <v>0</v>
      </c>
      <c r="AA46" s="152">
        <f t="shared" si="18"/>
        <v>0</v>
      </c>
      <c r="AB46" s="147"/>
      <c r="AC46" s="147"/>
      <c r="AD46" s="147"/>
      <c r="AE46" s="147"/>
      <c r="AF46" s="147"/>
      <c r="AG46" s="147"/>
      <c r="AH46" s="147"/>
      <c r="AI46" s="147"/>
      <c r="AJ46" s="147"/>
      <c r="AK46" s="147"/>
      <c r="AL46" s="147"/>
      <c r="AM46" s="147"/>
      <c r="AO46" s="144" t="s">
        <v>273</v>
      </c>
      <c r="AP46" s="144"/>
      <c r="AQ46" s="144"/>
      <c r="AR46" s="144"/>
      <c r="AS46" s="144"/>
      <c r="AT46" s="144"/>
      <c r="AU46" s="144"/>
      <c r="AV46" s="144"/>
      <c r="AW46" s="144"/>
      <c r="AX46" s="144"/>
      <c r="AY46" s="144"/>
      <c r="AZ46" s="144"/>
      <c r="BA46" s="144"/>
      <c r="BB46" s="144"/>
      <c r="BC46" s="145"/>
      <c r="BD46" s="145"/>
      <c r="BE46" s="145"/>
      <c r="BF46" s="145"/>
      <c r="BG46" s="145"/>
      <c r="BH46" s="145"/>
      <c r="BI46" s="145"/>
      <c r="BJ46" s="145"/>
      <c r="BK46" s="145"/>
      <c r="BL46" s="145"/>
      <c r="BM46" s="145"/>
      <c r="BN46" s="177">
        <f t="shared" si="19"/>
        <v>0</v>
      </c>
      <c r="BO46" s="152">
        <f t="shared" si="19"/>
        <v>0</v>
      </c>
      <c r="BP46" s="176"/>
      <c r="BQ46" s="176"/>
      <c r="BR46" s="176"/>
      <c r="BS46" s="176"/>
      <c r="BT46" s="147"/>
      <c r="BU46" s="147"/>
      <c r="BV46" s="147"/>
      <c r="BW46" s="147"/>
      <c r="BX46" s="147"/>
      <c r="BY46" s="147"/>
      <c r="BZ46" s="147"/>
      <c r="CA46" s="147"/>
    </row>
    <row r="47" spans="1:79">
      <c r="A47" s="144" t="s">
        <v>274</v>
      </c>
      <c r="B47" s="144"/>
      <c r="C47" s="144"/>
      <c r="D47" s="144"/>
      <c r="E47" s="144"/>
      <c r="F47" s="144"/>
      <c r="G47" s="144"/>
      <c r="H47" s="144"/>
      <c r="I47" s="144"/>
      <c r="J47" s="144"/>
      <c r="K47" s="144"/>
      <c r="L47" s="144"/>
      <c r="M47" s="144"/>
      <c r="N47" s="144"/>
      <c r="O47" s="145"/>
      <c r="P47" s="145"/>
      <c r="Q47" s="145"/>
      <c r="R47" s="145"/>
      <c r="S47" s="145"/>
      <c r="T47" s="145"/>
      <c r="U47" s="145"/>
      <c r="V47" s="145"/>
      <c r="W47" s="145"/>
      <c r="X47" s="145"/>
      <c r="Y47" s="145"/>
      <c r="Z47" s="177">
        <f t="shared" si="18"/>
        <v>0</v>
      </c>
      <c r="AA47" s="152">
        <f t="shared" si="18"/>
        <v>0</v>
      </c>
      <c r="AB47" s="147"/>
      <c r="AC47" s="147"/>
      <c r="AD47" s="147"/>
      <c r="AE47" s="147"/>
      <c r="AF47" s="147"/>
      <c r="AG47" s="147"/>
      <c r="AH47" s="147"/>
      <c r="AI47" s="147"/>
      <c r="AJ47" s="147"/>
      <c r="AK47" s="147"/>
      <c r="AL47" s="147"/>
      <c r="AM47" s="147"/>
      <c r="AO47" s="144" t="s">
        <v>274</v>
      </c>
      <c r="AP47" s="144"/>
      <c r="AQ47" s="144"/>
      <c r="AR47" s="144"/>
      <c r="AS47" s="144"/>
      <c r="AT47" s="144"/>
      <c r="AU47" s="144"/>
      <c r="AV47" s="144"/>
      <c r="AW47" s="144"/>
      <c r="AX47" s="144"/>
      <c r="AY47" s="144"/>
      <c r="AZ47" s="144"/>
      <c r="BA47" s="144"/>
      <c r="BB47" s="144"/>
      <c r="BC47" s="145"/>
      <c r="BD47" s="145"/>
      <c r="BE47" s="145"/>
      <c r="BF47" s="145"/>
      <c r="BG47" s="145"/>
      <c r="BH47" s="145"/>
      <c r="BI47" s="145"/>
      <c r="BJ47" s="145"/>
      <c r="BK47" s="145"/>
      <c r="BL47" s="145"/>
      <c r="BM47" s="145"/>
      <c r="BN47" s="177">
        <f t="shared" si="19"/>
        <v>0</v>
      </c>
      <c r="BO47" s="152">
        <f t="shared" si="19"/>
        <v>0</v>
      </c>
      <c r="BP47" s="176"/>
      <c r="BQ47" s="176"/>
      <c r="BR47" s="176"/>
      <c r="BS47" s="176"/>
      <c r="BT47" s="147"/>
      <c r="BU47" s="147"/>
      <c r="BV47" s="147"/>
      <c r="BW47" s="147"/>
      <c r="BX47" s="147"/>
      <c r="BY47" s="147"/>
      <c r="BZ47" s="147"/>
      <c r="CA47" s="147"/>
    </row>
    <row r="48" spans="1:79">
      <c r="A48" s="144" t="s">
        <v>275</v>
      </c>
      <c r="B48" s="144"/>
      <c r="C48" s="144"/>
      <c r="D48" s="144"/>
      <c r="E48" s="144"/>
      <c r="F48" s="144"/>
      <c r="G48" s="144"/>
      <c r="H48" s="144"/>
      <c r="I48" s="144"/>
      <c r="J48" s="144"/>
      <c r="K48" s="144"/>
      <c r="L48" s="144"/>
      <c r="M48" s="144"/>
      <c r="N48" s="144"/>
      <c r="O48" s="145"/>
      <c r="P48" s="145"/>
      <c r="Q48" s="145"/>
      <c r="R48" s="145"/>
      <c r="S48" s="145"/>
      <c r="T48" s="145"/>
      <c r="U48" s="145"/>
      <c r="V48" s="145"/>
      <c r="W48" s="145"/>
      <c r="X48" s="145"/>
      <c r="Y48" s="145"/>
      <c r="Z48" s="177">
        <f t="shared" si="18"/>
        <v>0</v>
      </c>
      <c r="AA48" s="152">
        <f t="shared" si="18"/>
        <v>0</v>
      </c>
      <c r="AB48" s="147"/>
      <c r="AC48" s="147"/>
      <c r="AD48" s="147"/>
      <c r="AE48" s="147"/>
      <c r="AF48" s="147"/>
      <c r="AG48" s="147"/>
      <c r="AH48" s="147"/>
      <c r="AI48" s="147"/>
      <c r="AJ48" s="147"/>
      <c r="AK48" s="147"/>
      <c r="AL48" s="147"/>
      <c r="AM48" s="147"/>
      <c r="AO48" s="144" t="s">
        <v>275</v>
      </c>
      <c r="AP48" s="144"/>
      <c r="AQ48" s="144"/>
      <c r="AR48" s="144"/>
      <c r="AS48" s="144"/>
      <c r="AT48" s="144"/>
      <c r="AU48" s="144"/>
      <c r="AV48" s="144"/>
      <c r="AW48" s="144"/>
      <c r="AX48" s="144"/>
      <c r="AY48" s="144"/>
      <c r="AZ48" s="144"/>
      <c r="BA48" s="144"/>
      <c r="BB48" s="144"/>
      <c r="BC48" s="145"/>
      <c r="BD48" s="145"/>
      <c r="BE48" s="145"/>
      <c r="BF48" s="145"/>
      <c r="BG48" s="145"/>
      <c r="BH48" s="145"/>
      <c r="BI48" s="145"/>
      <c r="BJ48" s="145"/>
      <c r="BK48" s="145"/>
      <c r="BL48" s="145"/>
      <c r="BM48" s="145"/>
      <c r="BN48" s="177">
        <f t="shared" si="19"/>
        <v>0</v>
      </c>
      <c r="BO48" s="152">
        <f t="shared" si="19"/>
        <v>0</v>
      </c>
      <c r="BP48" s="176"/>
      <c r="BQ48" s="176"/>
      <c r="BR48" s="176"/>
      <c r="BS48" s="176"/>
      <c r="BT48" s="147"/>
      <c r="BU48" s="147"/>
      <c r="BV48" s="147"/>
      <c r="BW48" s="147"/>
      <c r="BX48" s="147"/>
      <c r="BY48" s="147"/>
      <c r="BZ48" s="147"/>
      <c r="CA48" s="147"/>
    </row>
    <row r="49" spans="1:79">
      <c r="A49" s="144" t="s">
        <v>276</v>
      </c>
      <c r="B49" s="144"/>
      <c r="C49" s="144"/>
      <c r="D49" s="144"/>
      <c r="E49" s="144"/>
      <c r="F49" s="144"/>
      <c r="G49" s="144"/>
      <c r="H49" s="144"/>
      <c r="I49" s="144"/>
      <c r="J49" s="144"/>
      <c r="K49" s="144"/>
      <c r="L49" s="144"/>
      <c r="M49" s="144"/>
      <c r="N49" s="144"/>
      <c r="O49" s="145"/>
      <c r="P49" s="145"/>
      <c r="Q49" s="145"/>
      <c r="R49" s="145"/>
      <c r="S49" s="145"/>
      <c r="T49" s="145"/>
      <c r="U49" s="145"/>
      <c r="V49" s="145"/>
      <c r="W49" s="145"/>
      <c r="X49" s="145"/>
      <c r="Y49" s="145"/>
      <c r="Z49" s="177">
        <f t="shared" si="18"/>
        <v>0</v>
      </c>
      <c r="AA49" s="152">
        <f t="shared" si="18"/>
        <v>0</v>
      </c>
      <c r="AB49" s="147"/>
      <c r="AC49" s="147"/>
      <c r="AD49" s="147"/>
      <c r="AE49" s="147"/>
      <c r="AF49" s="147"/>
      <c r="AG49" s="147"/>
      <c r="AH49" s="147"/>
      <c r="AI49" s="147"/>
      <c r="AJ49" s="147"/>
      <c r="AK49" s="147"/>
      <c r="AL49" s="147"/>
      <c r="AM49" s="147"/>
      <c r="AO49" s="144" t="s">
        <v>276</v>
      </c>
      <c r="AP49" s="144"/>
      <c r="AQ49" s="144"/>
      <c r="AR49" s="144"/>
      <c r="AS49" s="144"/>
      <c r="AT49" s="144"/>
      <c r="AU49" s="144"/>
      <c r="AV49" s="144"/>
      <c r="AW49" s="144"/>
      <c r="AX49" s="144"/>
      <c r="AY49" s="144"/>
      <c r="AZ49" s="144"/>
      <c r="BA49" s="144"/>
      <c r="BB49" s="144"/>
      <c r="BC49" s="145"/>
      <c r="BD49" s="145"/>
      <c r="BE49" s="145"/>
      <c r="BF49" s="145"/>
      <c r="BG49" s="145"/>
      <c r="BH49" s="145"/>
      <c r="BI49" s="145"/>
      <c r="BJ49" s="145"/>
      <c r="BK49" s="145"/>
      <c r="BL49" s="145"/>
      <c r="BM49" s="145"/>
      <c r="BN49" s="177">
        <f t="shared" si="19"/>
        <v>0</v>
      </c>
      <c r="BO49" s="152">
        <f t="shared" si="19"/>
        <v>0</v>
      </c>
      <c r="BP49" s="176"/>
      <c r="BQ49" s="176"/>
      <c r="BR49" s="176"/>
      <c r="BS49" s="176"/>
      <c r="BT49" s="147"/>
      <c r="BU49" s="147"/>
      <c r="BV49" s="147"/>
      <c r="BW49" s="147"/>
      <c r="BX49" s="147"/>
      <c r="BY49" s="147"/>
      <c r="BZ49" s="147"/>
      <c r="CA49" s="147"/>
    </row>
    <row r="50" spans="1:79">
      <c r="A50" s="144" t="s">
        <v>277</v>
      </c>
      <c r="B50" s="144"/>
      <c r="C50" s="144"/>
      <c r="D50" s="144"/>
      <c r="E50" s="144"/>
      <c r="F50" s="144"/>
      <c r="G50" s="144"/>
      <c r="H50" s="144"/>
      <c r="I50" s="144"/>
      <c r="J50" s="144"/>
      <c r="K50" s="144"/>
      <c r="L50" s="144"/>
      <c r="M50" s="144"/>
      <c r="N50" s="144"/>
      <c r="O50" s="145"/>
      <c r="P50" s="145"/>
      <c r="Q50" s="145"/>
      <c r="R50" s="145"/>
      <c r="S50" s="145"/>
      <c r="T50" s="145"/>
      <c r="U50" s="145"/>
      <c r="V50" s="145"/>
      <c r="W50" s="145"/>
      <c r="X50" s="145"/>
      <c r="Y50" s="145"/>
      <c r="Z50" s="177">
        <f t="shared" si="18"/>
        <v>0</v>
      </c>
      <c r="AA50" s="152">
        <f t="shared" si="18"/>
        <v>0</v>
      </c>
      <c r="AB50" s="147"/>
      <c r="AC50" s="147"/>
      <c r="AD50" s="147"/>
      <c r="AE50" s="147"/>
      <c r="AF50" s="147"/>
      <c r="AG50" s="147"/>
      <c r="AH50" s="147"/>
      <c r="AI50" s="147"/>
      <c r="AJ50" s="147"/>
      <c r="AK50" s="147"/>
      <c r="AL50" s="147"/>
      <c r="AM50" s="147"/>
      <c r="AO50" s="144" t="s">
        <v>277</v>
      </c>
      <c r="AP50" s="144"/>
      <c r="AQ50" s="144"/>
      <c r="AR50" s="144"/>
      <c r="AS50" s="144"/>
      <c r="AT50" s="144"/>
      <c r="AU50" s="144"/>
      <c r="AV50" s="144"/>
      <c r="AW50" s="144"/>
      <c r="AX50" s="144"/>
      <c r="AY50" s="144"/>
      <c r="AZ50" s="144"/>
      <c r="BA50" s="144"/>
      <c r="BB50" s="144"/>
      <c r="BC50" s="145"/>
      <c r="BD50" s="145"/>
      <c r="BE50" s="145"/>
      <c r="BF50" s="145"/>
      <c r="BG50" s="145"/>
      <c r="BH50" s="145"/>
      <c r="BI50" s="145"/>
      <c r="BJ50" s="145"/>
      <c r="BK50" s="145"/>
      <c r="BL50" s="145"/>
      <c r="BM50" s="145"/>
      <c r="BN50" s="177">
        <f t="shared" si="19"/>
        <v>0</v>
      </c>
      <c r="BO50" s="152">
        <f t="shared" si="19"/>
        <v>0</v>
      </c>
      <c r="BP50" s="176"/>
      <c r="BQ50" s="176"/>
      <c r="BR50" s="176"/>
      <c r="BS50" s="176"/>
      <c r="BT50" s="147"/>
      <c r="BU50" s="147"/>
      <c r="BV50" s="147"/>
      <c r="BW50" s="147"/>
      <c r="BX50" s="147"/>
      <c r="BY50" s="147"/>
      <c r="BZ50" s="147"/>
      <c r="CA50" s="147"/>
    </row>
    <row r="51" spans="1:79">
      <c r="A51" s="144" t="s">
        <v>278</v>
      </c>
      <c r="B51" s="144"/>
      <c r="C51" s="144"/>
      <c r="D51" s="144"/>
      <c r="E51" s="144"/>
      <c r="F51" s="144"/>
      <c r="G51" s="144"/>
      <c r="H51" s="144"/>
      <c r="I51" s="144"/>
      <c r="J51" s="144"/>
      <c r="K51" s="144"/>
      <c r="L51" s="144"/>
      <c r="M51" s="144"/>
      <c r="N51" s="144"/>
      <c r="O51" s="145"/>
      <c r="P51" s="145"/>
      <c r="Q51" s="145"/>
      <c r="R51" s="145"/>
      <c r="S51" s="145"/>
      <c r="T51" s="145"/>
      <c r="U51" s="145"/>
      <c r="V51" s="145"/>
      <c r="W51" s="145"/>
      <c r="X51" s="145"/>
      <c r="Y51" s="145"/>
      <c r="Z51" s="177">
        <f t="shared" si="18"/>
        <v>0</v>
      </c>
      <c r="AA51" s="152">
        <f t="shared" si="18"/>
        <v>0</v>
      </c>
      <c r="AB51" s="147"/>
      <c r="AC51" s="147"/>
      <c r="AD51" s="147"/>
      <c r="AE51" s="147"/>
      <c r="AF51" s="147"/>
      <c r="AG51" s="147"/>
      <c r="AH51" s="147"/>
      <c r="AI51" s="147"/>
      <c r="AJ51" s="147"/>
      <c r="AK51" s="147"/>
      <c r="AL51" s="147"/>
      <c r="AM51" s="147"/>
      <c r="AO51" s="144" t="s">
        <v>278</v>
      </c>
      <c r="AP51" s="144"/>
      <c r="AQ51" s="144"/>
      <c r="AR51" s="144"/>
      <c r="AS51" s="144"/>
      <c r="AT51" s="144"/>
      <c r="AU51" s="144"/>
      <c r="AV51" s="144"/>
      <c r="AW51" s="144"/>
      <c r="AX51" s="144"/>
      <c r="AY51" s="144"/>
      <c r="AZ51" s="144"/>
      <c r="BA51" s="144"/>
      <c r="BB51" s="144"/>
      <c r="BC51" s="145"/>
      <c r="BD51" s="145"/>
      <c r="BE51" s="145"/>
      <c r="BF51" s="145"/>
      <c r="BG51" s="145"/>
      <c r="BH51" s="145"/>
      <c r="BI51" s="145"/>
      <c r="BJ51" s="145"/>
      <c r="BK51" s="145"/>
      <c r="BL51" s="145"/>
      <c r="BM51" s="145"/>
      <c r="BN51" s="177">
        <f t="shared" si="19"/>
        <v>0</v>
      </c>
      <c r="BO51" s="152">
        <f t="shared" si="19"/>
        <v>0</v>
      </c>
      <c r="BP51" s="176"/>
      <c r="BQ51" s="176"/>
      <c r="BR51" s="176"/>
      <c r="BS51" s="176"/>
      <c r="BT51" s="147"/>
      <c r="BU51" s="147"/>
      <c r="BV51" s="147"/>
      <c r="BW51" s="147"/>
      <c r="BX51" s="147"/>
      <c r="BY51" s="147"/>
      <c r="BZ51" s="147"/>
      <c r="CA51" s="147"/>
    </row>
    <row r="52" spans="1:79">
      <c r="A52" s="144" t="s">
        <v>279</v>
      </c>
      <c r="B52" s="144"/>
      <c r="C52" s="144"/>
      <c r="D52" s="144"/>
      <c r="E52" s="144"/>
      <c r="F52" s="144"/>
      <c r="G52" s="144"/>
      <c r="H52" s="144"/>
      <c r="I52" s="144"/>
      <c r="J52" s="144"/>
      <c r="K52" s="144"/>
      <c r="L52" s="144"/>
      <c r="M52" s="144"/>
      <c r="N52" s="144"/>
      <c r="O52" s="145"/>
      <c r="P52" s="145"/>
      <c r="Q52" s="145"/>
      <c r="R52" s="145"/>
      <c r="S52" s="145"/>
      <c r="T52" s="145"/>
      <c r="U52" s="145"/>
      <c r="V52" s="145"/>
      <c r="W52" s="145"/>
      <c r="X52" s="145"/>
      <c r="Y52" s="145"/>
      <c r="Z52" s="177">
        <f t="shared" si="18"/>
        <v>0</v>
      </c>
      <c r="AA52" s="152">
        <f t="shared" si="18"/>
        <v>0</v>
      </c>
      <c r="AB52" s="147"/>
      <c r="AC52" s="147"/>
      <c r="AD52" s="147"/>
      <c r="AE52" s="147"/>
      <c r="AF52" s="147"/>
      <c r="AG52" s="147"/>
      <c r="AH52" s="147"/>
      <c r="AI52" s="147"/>
      <c r="AJ52" s="147"/>
      <c r="AK52" s="147"/>
      <c r="AL52" s="147"/>
      <c r="AM52" s="147"/>
      <c r="AO52" s="144" t="s">
        <v>279</v>
      </c>
      <c r="AP52" s="144"/>
      <c r="AQ52" s="144"/>
      <c r="AR52" s="144"/>
      <c r="AS52" s="144"/>
      <c r="AT52" s="144"/>
      <c r="AU52" s="144"/>
      <c r="AV52" s="144"/>
      <c r="AW52" s="144"/>
      <c r="AX52" s="144"/>
      <c r="AY52" s="144"/>
      <c r="AZ52" s="144"/>
      <c r="BA52" s="144"/>
      <c r="BB52" s="144"/>
      <c r="BC52" s="145"/>
      <c r="BD52" s="145"/>
      <c r="BE52" s="145"/>
      <c r="BF52" s="145"/>
      <c r="BG52" s="145"/>
      <c r="BH52" s="145"/>
      <c r="BI52" s="145"/>
      <c r="BJ52" s="145"/>
      <c r="BK52" s="145"/>
      <c r="BL52" s="145"/>
      <c r="BM52" s="145"/>
      <c r="BN52" s="177">
        <f t="shared" si="19"/>
        <v>0</v>
      </c>
      <c r="BO52" s="152">
        <f t="shared" si="19"/>
        <v>0</v>
      </c>
      <c r="BP52" s="176"/>
      <c r="BQ52" s="176"/>
      <c r="BR52" s="176"/>
      <c r="BS52" s="176"/>
      <c r="BT52" s="147"/>
      <c r="BU52" s="147"/>
      <c r="BV52" s="147"/>
      <c r="BW52" s="147"/>
      <c r="BX52" s="147"/>
      <c r="BY52" s="147"/>
      <c r="BZ52" s="147"/>
      <c r="CA52" s="147"/>
    </row>
    <row r="53" spans="1:79">
      <c r="A53" s="144" t="s">
        <v>280</v>
      </c>
      <c r="B53" s="144"/>
      <c r="C53" s="144"/>
      <c r="D53" s="144"/>
      <c r="E53" s="144"/>
      <c r="F53" s="144"/>
      <c r="G53" s="144"/>
      <c r="H53" s="144"/>
      <c r="I53" s="144"/>
      <c r="J53" s="144"/>
      <c r="K53" s="144"/>
      <c r="L53" s="144"/>
      <c r="M53" s="144"/>
      <c r="N53" s="144"/>
      <c r="O53" s="145"/>
      <c r="P53" s="145"/>
      <c r="Q53" s="145"/>
      <c r="R53" s="145"/>
      <c r="S53" s="145"/>
      <c r="T53" s="145"/>
      <c r="U53" s="145"/>
      <c r="V53" s="145"/>
      <c r="W53" s="145"/>
      <c r="X53" s="145"/>
      <c r="Y53" s="145"/>
      <c r="Z53" s="177">
        <f t="shared" si="18"/>
        <v>0</v>
      </c>
      <c r="AA53" s="152">
        <f t="shared" si="18"/>
        <v>0</v>
      </c>
      <c r="AB53" s="147"/>
      <c r="AC53" s="147"/>
      <c r="AD53" s="147"/>
      <c r="AE53" s="147"/>
      <c r="AF53" s="147"/>
      <c r="AG53" s="147"/>
      <c r="AH53" s="147"/>
      <c r="AI53" s="147"/>
      <c r="AJ53" s="147"/>
      <c r="AK53" s="147"/>
      <c r="AL53" s="147"/>
      <c r="AM53" s="147"/>
      <c r="AO53" s="144" t="s">
        <v>280</v>
      </c>
      <c r="AP53" s="144"/>
      <c r="AQ53" s="144"/>
      <c r="AR53" s="144"/>
      <c r="AS53" s="144"/>
      <c r="AT53" s="144"/>
      <c r="AU53" s="144"/>
      <c r="AV53" s="144"/>
      <c r="AW53" s="144"/>
      <c r="AX53" s="144"/>
      <c r="AY53" s="144"/>
      <c r="AZ53" s="144"/>
      <c r="BA53" s="144"/>
      <c r="BB53" s="144"/>
      <c r="BC53" s="145"/>
      <c r="BD53" s="145"/>
      <c r="BE53" s="145"/>
      <c r="BF53" s="145"/>
      <c r="BG53" s="145"/>
      <c r="BH53" s="145"/>
      <c r="BI53" s="145"/>
      <c r="BJ53" s="145"/>
      <c r="BK53" s="145"/>
      <c r="BL53" s="145"/>
      <c r="BM53" s="145"/>
      <c r="BN53" s="177">
        <f t="shared" si="19"/>
        <v>0</v>
      </c>
      <c r="BO53" s="152">
        <f t="shared" si="19"/>
        <v>0</v>
      </c>
      <c r="BP53" s="176"/>
      <c r="BQ53" s="176"/>
      <c r="BR53" s="176"/>
      <c r="BS53" s="176"/>
      <c r="BT53" s="147"/>
      <c r="BU53" s="147"/>
      <c r="BV53" s="147"/>
      <c r="BW53" s="147"/>
      <c r="BX53" s="147"/>
      <c r="BY53" s="147"/>
      <c r="BZ53" s="147"/>
      <c r="CA53" s="147"/>
    </row>
    <row r="54" spans="1:79">
      <c r="A54" s="144" t="s">
        <v>281</v>
      </c>
      <c r="B54" s="144"/>
      <c r="C54" s="144"/>
      <c r="D54" s="144"/>
      <c r="E54" s="144"/>
      <c r="F54" s="144"/>
      <c r="G54" s="144"/>
      <c r="H54" s="144"/>
      <c r="I54" s="144"/>
      <c r="J54" s="144"/>
      <c r="K54" s="144"/>
      <c r="L54" s="144"/>
      <c r="M54" s="144"/>
      <c r="N54" s="144"/>
      <c r="O54" s="145"/>
      <c r="P54" s="145"/>
      <c r="Q54" s="145"/>
      <c r="R54" s="145"/>
      <c r="S54" s="145"/>
      <c r="T54" s="145"/>
      <c r="U54" s="145"/>
      <c r="V54" s="145"/>
      <c r="W54" s="145"/>
      <c r="X54" s="145"/>
      <c r="Y54" s="145"/>
      <c r="Z54" s="177">
        <f t="shared" si="18"/>
        <v>0</v>
      </c>
      <c r="AA54" s="152">
        <f t="shared" si="18"/>
        <v>0</v>
      </c>
      <c r="AB54" s="147"/>
      <c r="AC54" s="147"/>
      <c r="AD54" s="147"/>
      <c r="AE54" s="147"/>
      <c r="AF54" s="147"/>
      <c r="AG54" s="147"/>
      <c r="AH54" s="147"/>
      <c r="AI54" s="147"/>
      <c r="AJ54" s="147"/>
      <c r="AK54" s="147"/>
      <c r="AL54" s="147"/>
      <c r="AM54" s="147"/>
      <c r="AO54" s="144" t="s">
        <v>281</v>
      </c>
      <c r="AP54" s="144"/>
      <c r="AQ54" s="144"/>
      <c r="AR54" s="144"/>
      <c r="AS54" s="144"/>
      <c r="AT54" s="144"/>
      <c r="AU54" s="144"/>
      <c r="AV54" s="144"/>
      <c r="AW54" s="144"/>
      <c r="AX54" s="144"/>
      <c r="AY54" s="144"/>
      <c r="AZ54" s="144"/>
      <c r="BA54" s="144"/>
      <c r="BB54" s="144"/>
      <c r="BC54" s="145"/>
      <c r="BD54" s="145"/>
      <c r="BE54" s="145"/>
      <c r="BF54" s="145"/>
      <c r="BG54" s="145"/>
      <c r="BH54" s="145"/>
      <c r="BI54" s="145"/>
      <c r="BJ54" s="145"/>
      <c r="BK54" s="145"/>
      <c r="BL54" s="145"/>
      <c r="BM54" s="145"/>
      <c r="BN54" s="177">
        <f t="shared" si="19"/>
        <v>0</v>
      </c>
      <c r="BO54" s="152">
        <f t="shared" si="19"/>
        <v>0</v>
      </c>
      <c r="BP54" s="176"/>
      <c r="BQ54" s="176"/>
      <c r="BR54" s="176"/>
      <c r="BS54" s="176"/>
      <c r="BT54" s="147"/>
      <c r="BU54" s="147"/>
      <c r="BV54" s="147"/>
      <c r="BW54" s="147"/>
      <c r="BX54" s="147"/>
      <c r="BY54" s="147"/>
      <c r="BZ54" s="147"/>
      <c r="CA54" s="147"/>
    </row>
    <row r="55" spans="1:79">
      <c r="A55" s="144" t="s">
        <v>282</v>
      </c>
      <c r="B55" s="144"/>
      <c r="C55" s="144"/>
      <c r="D55" s="144"/>
      <c r="E55" s="144"/>
      <c r="F55" s="144"/>
      <c r="G55" s="144"/>
      <c r="H55" s="144"/>
      <c r="I55" s="144"/>
      <c r="J55" s="144"/>
      <c r="K55" s="144"/>
      <c r="L55" s="144"/>
      <c r="M55" s="144"/>
      <c r="N55" s="144"/>
      <c r="O55" s="145"/>
      <c r="P55" s="145"/>
      <c r="Q55" s="145"/>
      <c r="R55" s="145"/>
      <c r="S55" s="145"/>
      <c r="T55" s="145"/>
      <c r="U55" s="145"/>
      <c r="V55" s="145"/>
      <c r="W55" s="145"/>
      <c r="X55" s="145"/>
      <c r="Y55" s="145"/>
      <c r="Z55" s="177">
        <f t="shared" si="18"/>
        <v>0</v>
      </c>
      <c r="AA55" s="152">
        <f t="shared" si="18"/>
        <v>0</v>
      </c>
      <c r="AB55" s="147"/>
      <c r="AC55" s="147"/>
      <c r="AD55" s="147"/>
      <c r="AE55" s="147"/>
      <c r="AF55" s="147"/>
      <c r="AG55" s="147"/>
      <c r="AH55" s="147"/>
      <c r="AI55" s="147"/>
      <c r="AJ55" s="147"/>
      <c r="AK55" s="147"/>
      <c r="AL55" s="147"/>
      <c r="AM55" s="147"/>
      <c r="AO55" s="144" t="s">
        <v>282</v>
      </c>
      <c r="AP55" s="144"/>
      <c r="AQ55" s="144"/>
      <c r="AR55" s="144"/>
      <c r="AS55" s="144"/>
      <c r="AT55" s="144"/>
      <c r="AU55" s="144"/>
      <c r="AV55" s="144"/>
      <c r="AW55" s="144"/>
      <c r="AX55" s="144"/>
      <c r="AY55" s="144"/>
      <c r="AZ55" s="144"/>
      <c r="BA55" s="144"/>
      <c r="BB55" s="144"/>
      <c r="BC55" s="145"/>
      <c r="BD55" s="145"/>
      <c r="BE55" s="145"/>
      <c r="BF55" s="145"/>
      <c r="BG55" s="145"/>
      <c r="BH55" s="145"/>
      <c r="BI55" s="145"/>
      <c r="BJ55" s="145"/>
      <c r="BK55" s="145"/>
      <c r="BL55" s="145"/>
      <c r="BM55" s="145"/>
      <c r="BN55" s="177">
        <f t="shared" si="19"/>
        <v>0</v>
      </c>
      <c r="BO55" s="152">
        <f t="shared" si="19"/>
        <v>0</v>
      </c>
      <c r="BP55" s="176"/>
      <c r="BQ55" s="176"/>
      <c r="BR55" s="176"/>
      <c r="BS55" s="176"/>
      <c r="BT55" s="147"/>
      <c r="BU55" s="147"/>
      <c r="BV55" s="147"/>
      <c r="BW55" s="147"/>
      <c r="BX55" s="147"/>
      <c r="BY55" s="147"/>
      <c r="BZ55" s="147"/>
      <c r="CA55" s="147"/>
    </row>
    <row r="56" spans="1:79">
      <c r="A56" s="144" t="s">
        <v>283</v>
      </c>
      <c r="B56" s="144"/>
      <c r="C56" s="144"/>
      <c r="D56" s="144"/>
      <c r="E56" s="144"/>
      <c r="F56" s="144"/>
      <c r="G56" s="144"/>
      <c r="H56" s="144"/>
      <c r="I56" s="144"/>
      <c r="J56" s="144"/>
      <c r="K56" s="144"/>
      <c r="L56" s="144"/>
      <c r="M56" s="144"/>
      <c r="N56" s="144"/>
      <c r="O56" s="145"/>
      <c r="P56" s="145"/>
      <c r="Q56" s="145"/>
      <c r="R56" s="145"/>
      <c r="S56" s="145"/>
      <c r="T56" s="145"/>
      <c r="U56" s="145"/>
      <c r="V56" s="145"/>
      <c r="W56" s="145"/>
      <c r="X56" s="145"/>
      <c r="Y56" s="145"/>
      <c r="Z56" s="177">
        <f t="shared" si="18"/>
        <v>0</v>
      </c>
      <c r="AA56" s="152">
        <f t="shared" si="18"/>
        <v>0</v>
      </c>
      <c r="AB56" s="147"/>
      <c r="AC56" s="147"/>
      <c r="AD56" s="147"/>
      <c r="AE56" s="147"/>
      <c r="AF56" s="147"/>
      <c r="AG56" s="147"/>
      <c r="AH56" s="147"/>
      <c r="AI56" s="147"/>
      <c r="AJ56" s="147"/>
      <c r="AK56" s="147"/>
      <c r="AL56" s="147"/>
      <c r="AM56" s="147"/>
      <c r="AO56" s="144" t="s">
        <v>283</v>
      </c>
      <c r="AP56" s="144"/>
      <c r="AQ56" s="144"/>
      <c r="AR56" s="144"/>
      <c r="AS56" s="144"/>
      <c r="AT56" s="144"/>
      <c r="AU56" s="144"/>
      <c r="AV56" s="144"/>
      <c r="AW56" s="144"/>
      <c r="AX56" s="144"/>
      <c r="AY56" s="144"/>
      <c r="AZ56" s="144"/>
      <c r="BA56" s="144"/>
      <c r="BB56" s="144"/>
      <c r="BC56" s="145"/>
      <c r="BD56" s="145"/>
      <c r="BE56" s="145"/>
      <c r="BF56" s="145"/>
      <c r="BG56" s="145"/>
      <c r="BH56" s="145"/>
      <c r="BI56" s="145"/>
      <c r="BJ56" s="145"/>
      <c r="BK56" s="145"/>
      <c r="BL56" s="145"/>
      <c r="BM56" s="145"/>
      <c r="BN56" s="177">
        <f t="shared" si="19"/>
        <v>0</v>
      </c>
      <c r="BO56" s="152">
        <f t="shared" si="19"/>
        <v>0</v>
      </c>
      <c r="BP56" s="176"/>
      <c r="BQ56" s="176"/>
      <c r="BR56" s="176"/>
      <c r="BS56" s="176"/>
      <c r="BT56" s="147"/>
      <c r="BU56" s="147"/>
      <c r="BV56" s="147"/>
      <c r="BW56" s="147"/>
      <c r="BX56" s="147"/>
      <c r="BY56" s="147"/>
      <c r="BZ56" s="147"/>
      <c r="CA56" s="147"/>
    </row>
    <row r="57" spans="1:79">
      <c r="A57" s="144" t="s">
        <v>284</v>
      </c>
      <c r="B57" s="144"/>
      <c r="C57" s="144"/>
      <c r="D57" s="144"/>
      <c r="E57" s="144"/>
      <c r="F57" s="144"/>
      <c r="G57" s="144"/>
      <c r="H57" s="144"/>
      <c r="I57" s="144"/>
      <c r="J57" s="144"/>
      <c r="K57" s="144"/>
      <c r="L57" s="144"/>
      <c r="M57" s="144"/>
      <c r="N57" s="144"/>
      <c r="O57" s="145"/>
      <c r="P57" s="145"/>
      <c r="Q57" s="145"/>
      <c r="R57" s="145"/>
      <c r="S57" s="145"/>
      <c r="T57" s="145"/>
      <c r="U57" s="145"/>
      <c r="V57" s="145"/>
      <c r="W57" s="145"/>
      <c r="X57" s="145"/>
      <c r="Y57" s="145"/>
      <c r="Z57" s="177">
        <f t="shared" si="18"/>
        <v>0</v>
      </c>
      <c r="AA57" s="152">
        <f t="shared" si="18"/>
        <v>0</v>
      </c>
      <c r="AB57" s="147"/>
      <c r="AC57" s="147"/>
      <c r="AD57" s="147"/>
      <c r="AE57" s="147"/>
      <c r="AF57" s="147"/>
      <c r="AG57" s="147"/>
      <c r="AH57" s="147"/>
      <c r="AI57" s="147"/>
      <c r="AJ57" s="147"/>
      <c r="AK57" s="147"/>
      <c r="AL57" s="147"/>
      <c r="AM57" s="147"/>
      <c r="AO57" s="144" t="s">
        <v>284</v>
      </c>
      <c r="AP57" s="144"/>
      <c r="AQ57" s="144"/>
      <c r="AR57" s="144"/>
      <c r="AS57" s="144"/>
      <c r="AT57" s="144"/>
      <c r="AU57" s="144"/>
      <c r="AV57" s="144"/>
      <c r="AW57" s="144"/>
      <c r="AX57" s="144"/>
      <c r="AY57" s="144"/>
      <c r="AZ57" s="144"/>
      <c r="BA57" s="144"/>
      <c r="BB57" s="144"/>
      <c r="BC57" s="145"/>
      <c r="BD57" s="145"/>
      <c r="BE57" s="145"/>
      <c r="BF57" s="145"/>
      <c r="BG57" s="145"/>
      <c r="BH57" s="145"/>
      <c r="BI57" s="145"/>
      <c r="BJ57" s="145"/>
      <c r="BK57" s="145"/>
      <c r="BL57" s="145"/>
      <c r="BM57" s="145"/>
      <c r="BN57" s="177">
        <f t="shared" si="19"/>
        <v>0</v>
      </c>
      <c r="BO57" s="152">
        <f t="shared" si="19"/>
        <v>0</v>
      </c>
      <c r="BP57" s="176"/>
      <c r="BQ57" s="176"/>
      <c r="BR57" s="176"/>
      <c r="BS57" s="176"/>
      <c r="BT57" s="147"/>
      <c r="BU57" s="147"/>
      <c r="BV57" s="147"/>
      <c r="BW57" s="147"/>
      <c r="BX57" s="147"/>
      <c r="BY57" s="147"/>
      <c r="BZ57" s="147"/>
      <c r="CA57" s="147"/>
    </row>
    <row r="58" spans="1:79">
      <c r="A58" s="144" t="s">
        <v>285</v>
      </c>
      <c r="B58" s="144"/>
      <c r="C58" s="144"/>
      <c r="D58" s="144"/>
      <c r="E58" s="144"/>
      <c r="F58" s="144"/>
      <c r="G58" s="144"/>
      <c r="H58" s="144"/>
      <c r="I58" s="144"/>
      <c r="J58" s="144"/>
      <c r="K58" s="144"/>
      <c r="L58" s="144"/>
      <c r="M58" s="144"/>
      <c r="N58" s="144"/>
      <c r="O58" s="145"/>
      <c r="P58" s="145"/>
      <c r="Q58" s="145"/>
      <c r="R58" s="145"/>
      <c r="S58" s="145"/>
      <c r="T58" s="145"/>
      <c r="U58" s="145"/>
      <c r="V58" s="145"/>
      <c r="W58" s="145"/>
      <c r="X58" s="145"/>
      <c r="Y58" s="145"/>
      <c r="Z58" s="177">
        <f t="shared" si="18"/>
        <v>0</v>
      </c>
      <c r="AA58" s="152">
        <f t="shared" si="18"/>
        <v>0</v>
      </c>
      <c r="AB58" s="147"/>
      <c r="AC58" s="147"/>
      <c r="AD58" s="147"/>
      <c r="AE58" s="147"/>
      <c r="AF58" s="147"/>
      <c r="AG58" s="147"/>
      <c r="AH58" s="147"/>
      <c r="AI58" s="147"/>
      <c r="AJ58" s="147"/>
      <c r="AK58" s="147"/>
      <c r="AL58" s="147"/>
      <c r="AM58" s="147"/>
      <c r="AO58" s="144" t="s">
        <v>285</v>
      </c>
      <c r="AP58" s="144"/>
      <c r="AQ58" s="144"/>
      <c r="AR58" s="144"/>
      <c r="AS58" s="144"/>
      <c r="AT58" s="144"/>
      <c r="AU58" s="144"/>
      <c r="AV58" s="144"/>
      <c r="AW58" s="144"/>
      <c r="AX58" s="144"/>
      <c r="AY58" s="144"/>
      <c r="AZ58" s="144"/>
      <c r="BA58" s="144"/>
      <c r="BB58" s="144"/>
      <c r="BC58" s="145"/>
      <c r="BD58" s="145"/>
      <c r="BE58" s="145"/>
      <c r="BF58" s="145"/>
      <c r="BG58" s="145"/>
      <c r="BH58" s="145"/>
      <c r="BI58" s="145"/>
      <c r="BJ58" s="145"/>
      <c r="BK58" s="145"/>
      <c r="BL58" s="145"/>
      <c r="BM58" s="145"/>
      <c r="BN58" s="177">
        <f t="shared" si="19"/>
        <v>0</v>
      </c>
      <c r="BO58" s="152">
        <f t="shared" si="19"/>
        <v>0</v>
      </c>
      <c r="BP58" s="176"/>
      <c r="BQ58" s="176"/>
      <c r="BR58" s="176"/>
      <c r="BS58" s="176"/>
      <c r="BT58" s="147"/>
      <c r="BU58" s="147"/>
      <c r="BV58" s="147"/>
      <c r="BW58" s="147"/>
      <c r="BX58" s="147"/>
      <c r="BY58" s="147"/>
      <c r="BZ58" s="147"/>
      <c r="CA58" s="147"/>
    </row>
    <row r="59" spans="1:79">
      <c r="A59" s="144" t="s">
        <v>286</v>
      </c>
      <c r="B59" s="144"/>
      <c r="C59" s="144"/>
      <c r="D59" s="144"/>
      <c r="E59" s="144"/>
      <c r="F59" s="144"/>
      <c r="G59" s="144"/>
      <c r="H59" s="144"/>
      <c r="I59" s="144"/>
      <c r="J59" s="144"/>
      <c r="K59" s="144"/>
      <c r="L59" s="144"/>
      <c r="M59" s="144"/>
      <c r="N59" s="144"/>
      <c r="O59" s="145"/>
      <c r="P59" s="145"/>
      <c r="Q59" s="145"/>
      <c r="R59" s="145"/>
      <c r="S59" s="145"/>
      <c r="T59" s="145"/>
      <c r="U59" s="145"/>
      <c r="V59" s="145"/>
      <c r="W59" s="145"/>
      <c r="X59" s="145"/>
      <c r="Y59" s="145"/>
      <c r="Z59" s="177">
        <f t="shared" si="18"/>
        <v>0</v>
      </c>
      <c r="AA59" s="152">
        <f t="shared" si="18"/>
        <v>0</v>
      </c>
      <c r="AB59" s="147"/>
      <c r="AC59" s="147"/>
      <c r="AD59" s="147"/>
      <c r="AE59" s="147"/>
      <c r="AF59" s="147"/>
      <c r="AG59" s="147"/>
      <c r="AH59" s="147"/>
      <c r="AI59" s="147"/>
      <c r="AJ59" s="147"/>
      <c r="AK59" s="147"/>
      <c r="AL59" s="147"/>
      <c r="AM59" s="147"/>
      <c r="AO59" s="144" t="s">
        <v>286</v>
      </c>
      <c r="AP59" s="144"/>
      <c r="AQ59" s="144"/>
      <c r="AR59" s="144"/>
      <c r="AS59" s="144"/>
      <c r="AT59" s="144"/>
      <c r="AU59" s="144"/>
      <c r="AV59" s="144"/>
      <c r="AW59" s="144"/>
      <c r="AX59" s="144"/>
      <c r="AY59" s="144"/>
      <c r="AZ59" s="144"/>
      <c r="BA59" s="144"/>
      <c r="BB59" s="144"/>
      <c r="BC59" s="145"/>
      <c r="BD59" s="145"/>
      <c r="BE59" s="145"/>
      <c r="BF59" s="145"/>
      <c r="BG59" s="145"/>
      <c r="BH59" s="145"/>
      <c r="BI59" s="145"/>
      <c r="BJ59" s="145"/>
      <c r="BK59" s="145"/>
      <c r="BL59" s="145"/>
      <c r="BM59" s="145"/>
      <c r="BN59" s="177">
        <f t="shared" si="19"/>
        <v>0</v>
      </c>
      <c r="BO59" s="152">
        <f t="shared" si="19"/>
        <v>0</v>
      </c>
      <c r="BP59" s="176"/>
      <c r="BQ59" s="176"/>
      <c r="BR59" s="176"/>
      <c r="BS59" s="176"/>
      <c r="BT59" s="147"/>
      <c r="BU59" s="147"/>
      <c r="BV59" s="147"/>
      <c r="BW59" s="147"/>
      <c r="BX59" s="147"/>
      <c r="BY59" s="147"/>
      <c r="BZ59" s="147"/>
      <c r="CA59" s="147"/>
    </row>
    <row r="60" spans="1:79">
      <c r="A60" s="149" t="s">
        <v>287</v>
      </c>
      <c r="B60" s="146">
        <f t="shared" ref="B60:AM60" si="20">SUM(B39:B59)</f>
        <v>0</v>
      </c>
      <c r="C60" s="426">
        <f>SUM(C39:C59)</f>
        <v>20050667</v>
      </c>
      <c r="D60" s="146">
        <f t="shared" si="20"/>
        <v>0</v>
      </c>
      <c r="E60" s="426">
        <f>SUM(E39:E59)</f>
        <v>54590000</v>
      </c>
      <c r="F60" s="146">
        <f t="shared" si="20"/>
        <v>0</v>
      </c>
      <c r="G60" s="426">
        <f>SUM(G39:G59)</f>
        <v>54590000</v>
      </c>
      <c r="H60" s="146">
        <f t="shared" si="20"/>
        <v>0</v>
      </c>
      <c r="I60" s="426">
        <f>SUM(I39:I59)</f>
        <v>54590000</v>
      </c>
      <c r="J60" s="146">
        <f t="shared" si="20"/>
        <v>0</v>
      </c>
      <c r="K60" s="426">
        <f>SUM(K39:K59)</f>
        <v>54590000</v>
      </c>
      <c r="L60" s="146">
        <f t="shared" si="20"/>
        <v>0</v>
      </c>
      <c r="M60" s="426">
        <f>SUM(M39:M59)</f>
        <v>54590000</v>
      </c>
      <c r="N60" s="146">
        <f t="shared" si="20"/>
        <v>0</v>
      </c>
      <c r="O60" s="426">
        <f>SUM(O39:O59)</f>
        <v>54590000</v>
      </c>
      <c r="P60" s="146">
        <f t="shared" si="20"/>
        <v>0</v>
      </c>
      <c r="Q60" s="426">
        <f>SUM(Q39:Q59)</f>
        <v>54590000</v>
      </c>
      <c r="R60" s="146">
        <f t="shared" si="20"/>
        <v>0</v>
      </c>
      <c r="S60" s="426">
        <f>SUM(S39:S59)</f>
        <v>54590000</v>
      </c>
      <c r="T60" s="146">
        <f t="shared" si="20"/>
        <v>0</v>
      </c>
      <c r="U60" s="426">
        <f>SUM(U39:U59)</f>
        <v>54590000</v>
      </c>
      <c r="V60" s="146">
        <f t="shared" si="20"/>
        <v>0</v>
      </c>
      <c r="W60" s="426">
        <f>SUM(W39:W59)</f>
        <v>54590000</v>
      </c>
      <c r="X60" s="146">
        <f t="shared" si="20"/>
        <v>0</v>
      </c>
      <c r="Y60" s="426">
        <f>SUM(Y39:Y59)</f>
        <v>34539333</v>
      </c>
      <c r="Z60" s="146">
        <f t="shared" si="20"/>
        <v>0</v>
      </c>
      <c r="AA60" s="152">
        <f t="shared" si="20"/>
        <v>600490000</v>
      </c>
      <c r="AB60" s="146">
        <f t="shared" si="20"/>
        <v>0</v>
      </c>
      <c r="AC60" s="146">
        <f t="shared" si="20"/>
        <v>0</v>
      </c>
      <c r="AD60" s="146">
        <f t="shared" si="20"/>
        <v>0</v>
      </c>
      <c r="AE60" s="146">
        <f t="shared" si="20"/>
        <v>0</v>
      </c>
      <c r="AF60" s="146">
        <f t="shared" si="20"/>
        <v>0</v>
      </c>
      <c r="AG60" s="146">
        <f t="shared" si="20"/>
        <v>0</v>
      </c>
      <c r="AH60" s="146">
        <f t="shared" si="20"/>
        <v>0</v>
      </c>
      <c r="AI60" s="146">
        <f t="shared" si="20"/>
        <v>0</v>
      </c>
      <c r="AJ60" s="146">
        <f t="shared" si="20"/>
        <v>0</v>
      </c>
      <c r="AK60" s="146">
        <f t="shared" si="20"/>
        <v>0</v>
      </c>
      <c r="AL60" s="146">
        <f t="shared" si="20"/>
        <v>0</v>
      </c>
      <c r="AM60" s="146">
        <f t="shared" si="20"/>
        <v>0</v>
      </c>
      <c r="AO60" s="149" t="s">
        <v>287</v>
      </c>
      <c r="AP60" s="146">
        <f t="shared" ref="AP60:BB60" si="21">SUM(AP39:AP59)</f>
        <v>0</v>
      </c>
      <c r="AQ60" s="146">
        <f t="shared" si="21"/>
        <v>0</v>
      </c>
      <c r="AR60" s="146">
        <f t="shared" si="21"/>
        <v>0</v>
      </c>
      <c r="AS60" s="146">
        <f t="shared" si="21"/>
        <v>0</v>
      </c>
      <c r="AT60" s="146">
        <f t="shared" si="21"/>
        <v>0</v>
      </c>
      <c r="AU60" s="146">
        <f t="shared" si="21"/>
        <v>0</v>
      </c>
      <c r="AV60" s="146">
        <f t="shared" si="21"/>
        <v>0</v>
      </c>
      <c r="AW60" s="146">
        <f t="shared" si="21"/>
        <v>0</v>
      </c>
      <c r="AX60" s="146">
        <f t="shared" si="21"/>
        <v>0</v>
      </c>
      <c r="AY60" s="146">
        <f t="shared" si="21"/>
        <v>0</v>
      </c>
      <c r="AZ60" s="146">
        <f t="shared" si="21"/>
        <v>0</v>
      </c>
      <c r="BA60" s="146">
        <f t="shared" si="21"/>
        <v>0</v>
      </c>
      <c r="BB60" s="146">
        <f t="shared" si="21"/>
        <v>0</v>
      </c>
      <c r="BC60" s="146">
        <f>SUM(BC39:BC59)</f>
        <v>0</v>
      </c>
      <c r="BD60" s="146">
        <f t="shared" ref="BD60:CA60" si="22">SUM(BD39:BD59)</f>
        <v>0</v>
      </c>
      <c r="BE60" s="146">
        <f t="shared" si="22"/>
        <v>0</v>
      </c>
      <c r="BF60" s="146">
        <f t="shared" si="22"/>
        <v>0</v>
      </c>
      <c r="BG60" s="146">
        <f t="shared" si="22"/>
        <v>0</v>
      </c>
      <c r="BH60" s="146">
        <f t="shared" si="22"/>
        <v>0</v>
      </c>
      <c r="BI60" s="146">
        <f t="shared" si="22"/>
        <v>0</v>
      </c>
      <c r="BJ60" s="146">
        <f t="shared" si="22"/>
        <v>0</v>
      </c>
      <c r="BK60" s="146">
        <f t="shared" si="22"/>
        <v>0</v>
      </c>
      <c r="BL60" s="146">
        <f t="shared" si="22"/>
        <v>0</v>
      </c>
      <c r="BM60" s="146">
        <f t="shared" si="22"/>
        <v>0</v>
      </c>
      <c r="BN60" s="178">
        <f t="shared" si="22"/>
        <v>0</v>
      </c>
      <c r="BO60" s="153">
        <f t="shared" si="22"/>
        <v>0</v>
      </c>
      <c r="BP60" s="146">
        <f t="shared" si="22"/>
        <v>0</v>
      </c>
      <c r="BQ60" s="146">
        <f t="shared" si="22"/>
        <v>0</v>
      </c>
      <c r="BR60" s="146">
        <f t="shared" si="22"/>
        <v>0</v>
      </c>
      <c r="BS60" s="146">
        <f t="shared" si="22"/>
        <v>0</v>
      </c>
      <c r="BT60" s="146">
        <f t="shared" si="22"/>
        <v>0</v>
      </c>
      <c r="BU60" s="146">
        <f t="shared" si="22"/>
        <v>0</v>
      </c>
      <c r="BV60" s="146">
        <f>SUM(BV39:BV59)</f>
        <v>0</v>
      </c>
      <c r="BW60" s="146">
        <f t="shared" si="22"/>
        <v>0</v>
      </c>
      <c r="BX60" s="146">
        <f t="shared" si="22"/>
        <v>0</v>
      </c>
      <c r="BY60" s="146">
        <f t="shared" si="22"/>
        <v>0</v>
      </c>
      <c r="BZ60" s="146">
        <f t="shared" si="22"/>
        <v>0</v>
      </c>
      <c r="CA60" s="146">
        <f t="shared" si="22"/>
        <v>0</v>
      </c>
    </row>
    <row r="65" spans="4:27">
      <c r="D65" s="180">
        <v>250</v>
      </c>
      <c r="F65" s="180">
        <v>388</v>
      </c>
      <c r="G65" s="180"/>
      <c r="H65" s="180">
        <v>389</v>
      </c>
      <c r="I65" s="180"/>
      <c r="J65" s="180">
        <v>389</v>
      </c>
      <c r="K65" s="180"/>
      <c r="L65" s="180">
        <v>389</v>
      </c>
      <c r="M65" s="180"/>
      <c r="N65" s="180">
        <v>389</v>
      </c>
      <c r="O65" s="180"/>
      <c r="P65" s="180">
        <v>389</v>
      </c>
      <c r="Q65" s="180"/>
      <c r="R65" s="180">
        <v>389</v>
      </c>
      <c r="S65" s="180"/>
      <c r="T65" s="180">
        <v>389</v>
      </c>
      <c r="U65" s="180"/>
      <c r="V65" s="180">
        <v>389</v>
      </c>
      <c r="W65" s="180"/>
      <c r="X65" s="180">
        <v>250</v>
      </c>
    </row>
    <row r="66" spans="4:27">
      <c r="D66" s="108">
        <f>+D65/20</f>
        <v>12.5</v>
      </c>
    </row>
    <row r="68" spans="4:27">
      <c r="E68" s="423">
        <v>20050667</v>
      </c>
      <c r="F68" s="423"/>
      <c r="G68" s="423">
        <v>54590000</v>
      </c>
      <c r="H68" s="423"/>
      <c r="I68" s="423">
        <v>54590000</v>
      </c>
      <c r="J68" s="423"/>
      <c r="K68" s="423">
        <v>54590000</v>
      </c>
      <c r="L68" s="423"/>
      <c r="M68" s="423">
        <v>54590000</v>
      </c>
      <c r="N68" s="423"/>
      <c r="O68" s="423">
        <v>54590000</v>
      </c>
      <c r="P68" s="423"/>
      <c r="Q68" s="423">
        <v>54590000</v>
      </c>
      <c r="R68" s="423"/>
      <c r="S68" s="423">
        <v>54590000</v>
      </c>
      <c r="T68" s="423"/>
      <c r="U68" s="423">
        <v>54590000</v>
      </c>
      <c r="V68" s="423"/>
      <c r="W68" s="423">
        <v>54590000</v>
      </c>
      <c r="X68" s="423"/>
      <c r="Y68" s="423">
        <v>54590000</v>
      </c>
      <c r="Z68" s="423"/>
      <c r="AA68" s="423">
        <v>34539333</v>
      </c>
    </row>
    <row r="72" spans="4:27">
      <c r="P72" s="108">
        <v>2523000000</v>
      </c>
      <c r="Q72" s="108">
        <f>P72/7000</f>
        <v>360428.57142857142</v>
      </c>
    </row>
  </sheetData>
  <mergeCells count="78">
    <mergeCell ref="B7:CA7"/>
    <mergeCell ref="A1:BX1"/>
    <mergeCell ref="BY1:CA1"/>
    <mergeCell ref="A2:BX2"/>
    <mergeCell ref="BY2:CA2"/>
    <mergeCell ref="A3:BX3"/>
    <mergeCell ref="BY3:CA3"/>
    <mergeCell ref="A4:BX4"/>
    <mergeCell ref="BY4:CA4"/>
    <mergeCell ref="A5:AM5"/>
    <mergeCell ref="AO5:CA5"/>
    <mergeCell ref="B6:CA6"/>
    <mergeCell ref="V9:W9"/>
    <mergeCell ref="A9:A10"/>
    <mergeCell ref="B9:C9"/>
    <mergeCell ref="D9:E9"/>
    <mergeCell ref="F9:G9"/>
    <mergeCell ref="H9:I9"/>
    <mergeCell ref="J9:K9"/>
    <mergeCell ref="L9:M9"/>
    <mergeCell ref="N9:O9"/>
    <mergeCell ref="P9:Q9"/>
    <mergeCell ref="R9:S9"/>
    <mergeCell ref="T9:U9"/>
    <mergeCell ref="AZ9:BA9"/>
    <mergeCell ref="BB9:BC9"/>
    <mergeCell ref="X9:Y9"/>
    <mergeCell ref="Z9:AA9"/>
    <mergeCell ref="AB9:AG9"/>
    <mergeCell ref="AH9:AM9"/>
    <mergeCell ref="AO9:AO10"/>
    <mergeCell ref="AP9:AQ9"/>
    <mergeCell ref="A37:A38"/>
    <mergeCell ref="B37:C37"/>
    <mergeCell ref="D37:E37"/>
    <mergeCell ref="F37:G37"/>
    <mergeCell ref="H37:I37"/>
    <mergeCell ref="V37:W37"/>
    <mergeCell ref="BP9:BU9"/>
    <mergeCell ref="BV9:CA9"/>
    <mergeCell ref="B34:CA34"/>
    <mergeCell ref="B35:CA35"/>
    <mergeCell ref="J37:K37"/>
    <mergeCell ref="BD9:BE9"/>
    <mergeCell ref="BF9:BG9"/>
    <mergeCell ref="BH9:BI9"/>
    <mergeCell ref="BJ9:BK9"/>
    <mergeCell ref="BL9:BM9"/>
    <mergeCell ref="BN9:BO9"/>
    <mergeCell ref="AR9:AS9"/>
    <mergeCell ref="AT9:AU9"/>
    <mergeCell ref="AV9:AW9"/>
    <mergeCell ref="AX9:AY9"/>
    <mergeCell ref="L37:M37"/>
    <mergeCell ref="N37:O37"/>
    <mergeCell ref="P37:Q37"/>
    <mergeCell ref="R37:S37"/>
    <mergeCell ref="T37:U37"/>
    <mergeCell ref="BB37:BC37"/>
    <mergeCell ref="X37:Y37"/>
    <mergeCell ref="Z37:AA37"/>
    <mergeCell ref="AB37:AG37"/>
    <mergeCell ref="AH37:AM37"/>
    <mergeCell ref="AO37:AO38"/>
    <mergeCell ref="AP37:AQ37"/>
    <mergeCell ref="AR37:AS37"/>
    <mergeCell ref="AT37:AU37"/>
    <mergeCell ref="AV37:AW37"/>
    <mergeCell ref="AX37:AY37"/>
    <mergeCell ref="AZ37:BA37"/>
    <mergeCell ref="BP37:BU37"/>
    <mergeCell ref="BV37:CA37"/>
    <mergeCell ref="BD37:BE37"/>
    <mergeCell ref="BF37:BG37"/>
    <mergeCell ref="BH37:BI37"/>
    <mergeCell ref="BJ37:BK37"/>
    <mergeCell ref="BL37:BM37"/>
    <mergeCell ref="BN37:BO37"/>
  </mergeCells>
  <printOptions horizontalCentered="1"/>
  <pageMargins left="0.19685039370078741" right="0.19685039370078741" top="0.19685039370078741" bottom="0.19685039370078741" header="0" footer="0"/>
  <pageSetup scale="14" fitToHeight="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4D11D-579C-487E-AFC2-33AD5CC2C440}">
  <sheetPr>
    <pageSetUpPr fitToPage="1"/>
  </sheetPr>
  <dimension ref="A1:P11"/>
  <sheetViews>
    <sheetView topLeftCell="B16" zoomScale="75" zoomScaleNormal="75" workbookViewId="0">
      <selection activeCell="B10" sqref="B1:K1048576"/>
    </sheetView>
  </sheetViews>
  <sheetFormatPr baseColWidth="10" defaultColWidth="11.42578125" defaultRowHeight="15"/>
  <cols>
    <col min="1" max="1" width="8.85546875" style="160" hidden="1" customWidth="1"/>
    <col min="2" max="2" width="9.42578125" style="50" customWidth="1"/>
    <col min="3" max="3" width="55.7109375" style="50" customWidth="1"/>
    <col min="4" max="4" width="13.7109375" style="50" hidden="1" customWidth="1"/>
    <col min="5" max="5" width="15.28515625" style="50" hidden="1" customWidth="1"/>
    <col min="6" max="6" width="21.140625" style="389" customWidth="1"/>
    <col min="7" max="8" width="15.28515625" style="50" hidden="1" customWidth="1"/>
    <col min="9" max="9" width="16.42578125" style="50" hidden="1" customWidth="1"/>
    <col min="10" max="10" width="13.5703125" style="160" customWidth="1"/>
    <col min="11" max="11" width="14.42578125" style="160" customWidth="1"/>
    <col min="12" max="13" width="11.42578125" style="50"/>
    <col min="14" max="14" width="20.140625" style="50" bestFit="1" customWidth="1"/>
    <col min="15" max="15" width="17.140625" style="50" bestFit="1" customWidth="1"/>
    <col min="16" max="16384" width="11.42578125" style="50"/>
  </cols>
  <sheetData>
    <row r="1" spans="1:16" ht="15.75" thickBot="1">
      <c r="A1" s="936" t="s">
        <v>288</v>
      </c>
      <c r="B1" s="937"/>
      <c r="C1" s="937"/>
      <c r="D1" s="937"/>
      <c r="E1" s="937"/>
      <c r="F1" s="937"/>
      <c r="G1" s="937"/>
      <c r="H1" s="937"/>
      <c r="I1" s="938"/>
    </row>
    <row r="2" spans="1:16" ht="45.75" thickBot="1">
      <c r="A2" s="471" t="s">
        <v>289</v>
      </c>
      <c r="B2" s="471" t="s">
        <v>290</v>
      </c>
      <c r="C2" s="471" t="s">
        <v>291</v>
      </c>
      <c r="D2" s="471">
        <v>2020</v>
      </c>
      <c r="E2" s="471">
        <v>2021</v>
      </c>
      <c r="F2" s="471">
        <v>2022</v>
      </c>
      <c r="G2" s="188">
        <v>2023</v>
      </c>
      <c r="H2" s="188">
        <v>2024</v>
      </c>
      <c r="I2" s="189" t="s">
        <v>292</v>
      </c>
      <c r="J2" s="159" t="s">
        <v>293</v>
      </c>
      <c r="K2" s="159" t="s">
        <v>294</v>
      </c>
      <c r="N2" s="494" t="s">
        <v>1076</v>
      </c>
      <c r="O2" s="495" t="s">
        <v>1077</v>
      </c>
      <c r="P2" s="496" t="s">
        <v>1078</v>
      </c>
    </row>
    <row r="3" spans="1:16" ht="33.75" customHeight="1">
      <c r="A3" s="472">
        <v>7673</v>
      </c>
      <c r="B3" s="473">
        <v>1</v>
      </c>
      <c r="C3" s="474" t="s">
        <v>295</v>
      </c>
      <c r="D3" s="475">
        <v>104564466</v>
      </c>
      <c r="E3" s="475">
        <v>2363000000</v>
      </c>
      <c r="F3" s="477">
        <v>2401870787.1600008</v>
      </c>
      <c r="G3" s="190">
        <v>2491086000</v>
      </c>
      <c r="H3" s="190">
        <v>2219930000</v>
      </c>
      <c r="I3" s="197">
        <v>9680517466</v>
      </c>
      <c r="J3" s="196">
        <f>+F3/F7</f>
        <v>0.44272002261274546</v>
      </c>
      <c r="K3" s="200">
        <v>0.3</v>
      </c>
      <c r="N3" s="488">
        <f>+'Meta 1'!AC22</f>
        <v>2401870787.1599998</v>
      </c>
      <c r="O3" s="489">
        <f>+'Meta 1'!AC23</f>
        <v>1351177000</v>
      </c>
      <c r="P3" s="490">
        <f>+'Meta 1'!AC25</f>
        <v>0</v>
      </c>
    </row>
    <row r="4" spans="1:16" ht="42.75" customHeight="1">
      <c r="A4" s="472">
        <v>7673</v>
      </c>
      <c r="B4" s="473">
        <v>2</v>
      </c>
      <c r="C4" s="474" t="s">
        <v>296</v>
      </c>
      <c r="D4" s="475">
        <v>120000000</v>
      </c>
      <c r="E4" s="475">
        <v>727850000</v>
      </c>
      <c r="F4" s="477">
        <v>184761500</v>
      </c>
      <c r="G4" s="190">
        <v>700000000</v>
      </c>
      <c r="H4" s="190">
        <v>0</v>
      </c>
      <c r="I4" s="197">
        <v>1732612000</v>
      </c>
      <c r="J4" s="196">
        <f>+F4/F7</f>
        <v>3.4055793465344236E-2</v>
      </c>
      <c r="K4" s="200">
        <v>0.1</v>
      </c>
      <c r="N4" s="486">
        <f>+'Meta 2'!AC22</f>
        <v>184761500</v>
      </c>
      <c r="O4" s="485">
        <f>+'Meta 2'!AC23</f>
        <v>0</v>
      </c>
      <c r="P4" s="487">
        <f>+'Meta 2'!AC25</f>
        <v>0</v>
      </c>
    </row>
    <row r="5" spans="1:16" ht="57" customHeight="1">
      <c r="A5" s="472">
        <v>7673</v>
      </c>
      <c r="B5" s="473">
        <v>3</v>
      </c>
      <c r="C5" s="474" t="s">
        <v>297</v>
      </c>
      <c r="D5" s="475">
        <v>97776667</v>
      </c>
      <c r="E5" s="475">
        <v>900135000</v>
      </c>
      <c r="F5" s="477">
        <v>1608626712.8399997</v>
      </c>
      <c r="G5" s="190">
        <v>725114000</v>
      </c>
      <c r="H5" s="190">
        <v>746870000</v>
      </c>
      <c r="I5" s="197">
        <v>3978455667</v>
      </c>
      <c r="J5" s="196">
        <f>+F5/F7</f>
        <v>0.29650689724490564</v>
      </c>
      <c r="K5" s="200">
        <v>0.25</v>
      </c>
      <c r="N5" s="486">
        <f>+'Meta 3'!AC22</f>
        <v>1608626712.8400002</v>
      </c>
      <c r="O5" s="485">
        <f>+'Meta 3'!AC23</f>
        <v>1451347000</v>
      </c>
      <c r="P5" s="487">
        <f>+'Meta 3'!AC25</f>
        <v>0</v>
      </c>
    </row>
    <row r="6" spans="1:16" ht="63.75" customHeight="1" thickBot="1">
      <c r="A6" s="472">
        <v>7673</v>
      </c>
      <c r="B6" s="473">
        <v>4</v>
      </c>
      <c r="C6" s="474" t="s">
        <v>298</v>
      </c>
      <c r="D6" s="475">
        <v>0</v>
      </c>
      <c r="E6" s="475">
        <v>0</v>
      </c>
      <c r="F6" s="477">
        <v>1230000000</v>
      </c>
      <c r="G6" s="190">
        <v>0</v>
      </c>
      <c r="H6" s="190"/>
      <c r="I6" s="197">
        <v>1230000000</v>
      </c>
      <c r="J6" s="196">
        <f>+F6/F7</f>
        <v>0.22671728667700472</v>
      </c>
      <c r="K6" s="200">
        <v>0.35</v>
      </c>
      <c r="N6" s="491">
        <f>+'Meta 4'!AC22</f>
        <v>1230000000</v>
      </c>
      <c r="O6" s="492">
        <f>+'Meta 4'!AC23</f>
        <v>1230000000</v>
      </c>
      <c r="P6" s="493">
        <f>+'Meta 4'!AC25</f>
        <v>0</v>
      </c>
    </row>
    <row r="7" spans="1:16" ht="15.75" thickBot="1">
      <c r="A7" s="939" t="s">
        <v>41</v>
      </c>
      <c r="B7" s="940"/>
      <c r="C7" s="940"/>
      <c r="D7" s="476">
        <v>322341133</v>
      </c>
      <c r="E7" s="476">
        <v>3990985000</v>
      </c>
      <c r="F7" s="478">
        <f>SUM(F3:F6)</f>
        <v>5425259000</v>
      </c>
      <c r="G7" s="191">
        <v>3916200000</v>
      </c>
      <c r="H7" s="191">
        <v>2966800000</v>
      </c>
      <c r="I7" s="192">
        <v>16621585133</v>
      </c>
      <c r="J7" s="201">
        <f>SUM(J3:J6)</f>
        <v>1</v>
      </c>
      <c r="K7" s="201">
        <f>SUM(K3:K6)</f>
        <v>1</v>
      </c>
      <c r="N7" s="497">
        <f>SUM(N3:N6)</f>
        <v>5425259000</v>
      </c>
      <c r="O7" s="498">
        <f>SUM(O3:O6)</f>
        <v>4032524000</v>
      </c>
      <c r="P7" s="499">
        <f>SUM(P3:P6)</f>
        <v>0</v>
      </c>
    </row>
    <row r="8" spans="1:16" hidden="1">
      <c r="A8" s="941" t="s">
        <v>299</v>
      </c>
      <c r="B8" s="942"/>
      <c r="C8" s="942"/>
      <c r="D8" s="193"/>
      <c r="E8" s="193"/>
      <c r="F8" s="479">
        <v>5425259000</v>
      </c>
      <c r="G8" s="193"/>
      <c r="H8" s="193"/>
      <c r="I8" s="198"/>
    </row>
    <row r="9" spans="1:16" ht="15.75" hidden="1" thickBot="1">
      <c r="A9" s="943" t="s">
        <v>300</v>
      </c>
      <c r="B9" s="944"/>
      <c r="C9" s="944"/>
      <c r="D9" s="194"/>
      <c r="E9" s="194"/>
      <c r="F9" s="480">
        <v>0</v>
      </c>
      <c r="G9" s="194"/>
      <c r="H9" s="194"/>
      <c r="I9" s="199"/>
    </row>
    <row r="11" spans="1:16">
      <c r="O11" s="500">
        <f>+O7/N7</f>
        <v>0.74328691035764372</v>
      </c>
    </row>
  </sheetData>
  <mergeCells count="4">
    <mergeCell ref="A1:I1"/>
    <mergeCell ref="A7:C7"/>
    <mergeCell ref="A8:C8"/>
    <mergeCell ref="A9:C9"/>
  </mergeCells>
  <conditionalFormatting sqref="F9">
    <cfRule type="cellIs" dxfId="0" priority="1" operator="lessThan">
      <formula>0</formula>
    </cfRule>
  </conditionalFormatting>
  <printOptions horizontalCentered="1"/>
  <pageMargins left="0.19685039370078741" right="0.19685039370078741" top="0.19685039370078741" bottom="0.19685039370078741" header="0" footer="0"/>
  <pageSetup scale="91"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0285D-3F4B-47FA-A11D-96046964CD7B}">
  <sheetPr filterMode="1">
    <tabColor rgb="FF92D050"/>
    <pageSetUpPr fitToPage="1"/>
  </sheetPr>
  <dimension ref="A1:BB104"/>
  <sheetViews>
    <sheetView topLeftCell="M1" zoomScale="75" zoomScaleNormal="75" workbookViewId="0">
      <selection activeCell="Q67" sqref="Q67"/>
    </sheetView>
  </sheetViews>
  <sheetFormatPr baseColWidth="10" defaultColWidth="11.42578125" defaultRowHeight="15"/>
  <cols>
    <col min="9" max="10" width="15.5703125" bestFit="1" customWidth="1"/>
    <col min="17" max="17" width="11.42578125" customWidth="1"/>
    <col min="18" max="26" width="11.42578125" hidden="1" customWidth="1"/>
    <col min="27" max="27" width="25" customWidth="1"/>
    <col min="28" max="28" width="11.7109375" customWidth="1"/>
    <col min="29" max="33" width="11.42578125" customWidth="1"/>
    <col min="34" max="34" width="11.42578125" style="300" customWidth="1"/>
    <col min="35" max="38" width="16.85546875" style="300" bestFit="1" customWidth="1"/>
    <col min="39" max="39" width="16.42578125" style="300" bestFit="1" customWidth="1"/>
    <col min="40" max="41" width="16.85546875" style="300" bestFit="1" customWidth="1"/>
    <col min="42" max="42" width="16.42578125" style="300" bestFit="1" customWidth="1"/>
    <col min="43" max="44" width="16.85546875" style="300" bestFit="1" customWidth="1"/>
    <col min="45" max="46" width="17.140625" style="300" bestFit="1" customWidth="1"/>
    <col min="47" max="47" width="18.5703125" style="326" bestFit="1" customWidth="1"/>
    <col min="48" max="48" width="18.7109375" style="300" bestFit="1" customWidth="1"/>
    <col min="49" max="49" width="12" style="300" bestFit="1" customWidth="1"/>
    <col min="50" max="50" width="15.7109375" style="300" bestFit="1" customWidth="1"/>
    <col min="51" max="53" width="11.42578125" style="300"/>
    <col min="54" max="54" width="19" style="299" bestFit="1" customWidth="1"/>
  </cols>
  <sheetData>
    <row r="1" spans="1:54" ht="76.5">
      <c r="A1" s="224" t="s">
        <v>301</v>
      </c>
      <c r="B1" s="224" t="s">
        <v>302</v>
      </c>
      <c r="C1" s="224" t="s">
        <v>303</v>
      </c>
      <c r="D1" s="224" t="s">
        <v>304</v>
      </c>
      <c r="E1" s="225" t="s">
        <v>305</v>
      </c>
      <c r="F1" s="224" t="s">
        <v>306</v>
      </c>
      <c r="G1" s="224" t="s">
        <v>307</v>
      </c>
      <c r="H1" s="224" t="s">
        <v>308</v>
      </c>
      <c r="I1" s="224" t="s">
        <v>309</v>
      </c>
      <c r="J1" s="226" t="s">
        <v>157</v>
      </c>
      <c r="K1" s="226" t="s">
        <v>310</v>
      </c>
      <c r="L1" s="226" t="s">
        <v>311</v>
      </c>
      <c r="M1" s="226" t="s">
        <v>312</v>
      </c>
      <c r="N1" s="226" t="s">
        <v>313</v>
      </c>
      <c r="O1" s="226" t="s">
        <v>314</v>
      </c>
      <c r="P1" s="226" t="s">
        <v>315</v>
      </c>
      <c r="Q1" s="226" t="s">
        <v>316</v>
      </c>
      <c r="R1" s="226" t="s">
        <v>317</v>
      </c>
      <c r="S1" s="226" t="s">
        <v>318</v>
      </c>
      <c r="T1" s="226" t="s">
        <v>319</v>
      </c>
      <c r="U1" s="226" t="s">
        <v>320</v>
      </c>
      <c r="V1" s="226" t="s">
        <v>321</v>
      </c>
      <c r="W1" s="226" t="s">
        <v>322</v>
      </c>
      <c r="X1" s="227" t="s">
        <v>323</v>
      </c>
      <c r="Y1" s="226" t="s">
        <v>324</v>
      </c>
      <c r="Z1" s="226" t="s">
        <v>325</v>
      </c>
      <c r="AA1" s="228" t="s">
        <v>326</v>
      </c>
      <c r="AB1" s="228" t="s">
        <v>327</v>
      </c>
      <c r="AC1" s="229" t="s">
        <v>328</v>
      </c>
      <c r="AD1" s="229" t="s">
        <v>329</v>
      </c>
      <c r="AE1" s="230"/>
      <c r="AF1" s="230"/>
      <c r="AG1" s="230"/>
      <c r="AH1" s="331"/>
      <c r="AI1" s="366" t="s">
        <v>330</v>
      </c>
      <c r="AJ1" s="366" t="s">
        <v>331</v>
      </c>
      <c r="AK1" s="366" t="s">
        <v>332</v>
      </c>
      <c r="AL1" s="366" t="s">
        <v>333</v>
      </c>
      <c r="AM1" s="366" t="s">
        <v>334</v>
      </c>
      <c r="AN1" s="366" t="s">
        <v>335</v>
      </c>
      <c r="AO1" s="366" t="s">
        <v>336</v>
      </c>
      <c r="AP1" s="366" t="s">
        <v>337</v>
      </c>
      <c r="AQ1" s="366" t="s">
        <v>338</v>
      </c>
      <c r="AR1" s="366" t="s">
        <v>339</v>
      </c>
      <c r="AS1" s="366" t="s">
        <v>340</v>
      </c>
      <c r="AT1" s="366" t="s">
        <v>341</v>
      </c>
      <c r="AU1" s="326" t="s">
        <v>342</v>
      </c>
      <c r="AX1" s="300" t="s">
        <v>343</v>
      </c>
      <c r="AY1" s="300" t="s">
        <v>344</v>
      </c>
      <c r="AZ1" s="300" t="s">
        <v>345</v>
      </c>
      <c r="BA1" s="300" t="s">
        <v>346</v>
      </c>
    </row>
    <row r="2" spans="1:54" hidden="1">
      <c r="A2" s="231" t="s">
        <v>347</v>
      </c>
      <c r="B2" s="232" t="s">
        <v>348</v>
      </c>
      <c r="C2" s="232" t="s">
        <v>348</v>
      </c>
      <c r="D2" s="232">
        <v>362</v>
      </c>
      <c r="E2" s="233">
        <v>362</v>
      </c>
      <c r="F2" s="234">
        <v>7673</v>
      </c>
      <c r="G2" s="231" t="s">
        <v>349</v>
      </c>
      <c r="H2" s="231" t="s">
        <v>350</v>
      </c>
      <c r="I2" s="231" t="s">
        <v>351</v>
      </c>
      <c r="J2" s="231" t="s">
        <v>352</v>
      </c>
      <c r="K2" s="231" t="s">
        <v>353</v>
      </c>
      <c r="L2" s="231" t="s">
        <v>354</v>
      </c>
      <c r="M2" s="231" t="s">
        <v>355</v>
      </c>
      <c r="N2" s="231" t="s">
        <v>356</v>
      </c>
      <c r="O2" s="231" t="s">
        <v>357</v>
      </c>
      <c r="P2" s="231" t="s">
        <v>358</v>
      </c>
      <c r="Q2" s="235">
        <v>1</v>
      </c>
      <c r="R2" s="231" t="s">
        <v>359</v>
      </c>
      <c r="S2" s="231" t="s">
        <v>360</v>
      </c>
      <c r="T2" s="232">
        <v>80111620</v>
      </c>
      <c r="U2" s="236" t="s">
        <v>361</v>
      </c>
      <c r="V2" s="232">
        <v>1</v>
      </c>
      <c r="W2" s="232">
        <v>1</v>
      </c>
      <c r="X2" s="232">
        <v>330</v>
      </c>
      <c r="Y2" s="237" t="s">
        <v>362</v>
      </c>
      <c r="Z2" s="238" t="s">
        <v>363</v>
      </c>
      <c r="AA2" s="333">
        <v>69608000</v>
      </c>
      <c r="AB2" s="239">
        <v>6328000</v>
      </c>
      <c r="AC2" s="238" t="s">
        <v>364</v>
      </c>
      <c r="AD2" s="238" t="s">
        <v>365</v>
      </c>
      <c r="AE2" s="240"/>
      <c r="AF2" s="241"/>
      <c r="AG2" s="242"/>
      <c r="AH2" s="301"/>
      <c r="AI2" s="357">
        <f>AB2/30*10</f>
        <v>2109333.3333333335</v>
      </c>
      <c r="AJ2" s="357">
        <f>AB2</f>
        <v>6328000</v>
      </c>
      <c r="AK2" s="357">
        <v>6328000</v>
      </c>
      <c r="AL2" s="357">
        <v>6328000</v>
      </c>
      <c r="AM2" s="329">
        <v>6328000</v>
      </c>
      <c r="AN2" s="329">
        <v>6328000</v>
      </c>
      <c r="AO2" s="329">
        <v>6328000</v>
      </c>
      <c r="AP2" s="329">
        <v>6328000</v>
      </c>
      <c r="AQ2" s="329">
        <v>6328000</v>
      </c>
      <c r="AR2" s="329">
        <v>6328000</v>
      </c>
      <c r="AS2" s="329">
        <v>6328000</v>
      </c>
      <c r="AT2" s="329">
        <f>AB2/30*20</f>
        <v>4218666.666666667</v>
      </c>
      <c r="AU2" s="326">
        <f>SUM(AI2:AT2)</f>
        <v>69608000</v>
      </c>
      <c r="AV2" s="303">
        <f>+AU2-AA2</f>
        <v>0</v>
      </c>
      <c r="AX2" s="300">
        <f>+AU2</f>
        <v>69608000</v>
      </c>
      <c r="AY2" s="300">
        <v>0</v>
      </c>
      <c r="AZ2" s="300">
        <v>0</v>
      </c>
      <c r="BA2" s="300">
        <v>0</v>
      </c>
      <c r="BB2" s="299">
        <f>SUM(AX2:BA2)</f>
        <v>69608000</v>
      </c>
    </row>
    <row r="3" spans="1:54" hidden="1">
      <c r="A3" s="231" t="s">
        <v>347</v>
      </c>
      <c r="B3" s="232" t="s">
        <v>348</v>
      </c>
      <c r="C3" s="232" t="s">
        <v>348</v>
      </c>
      <c r="D3" s="232">
        <v>363</v>
      </c>
      <c r="E3" s="233">
        <v>363</v>
      </c>
      <c r="F3" s="234">
        <v>7673</v>
      </c>
      <c r="G3" s="231" t="s">
        <v>349</v>
      </c>
      <c r="H3" s="231" t="s">
        <v>350</v>
      </c>
      <c r="I3" s="231" t="s">
        <v>351</v>
      </c>
      <c r="J3" s="231" t="s">
        <v>352</v>
      </c>
      <c r="K3" s="231" t="s">
        <v>353</v>
      </c>
      <c r="L3" s="231" t="s">
        <v>354</v>
      </c>
      <c r="M3" s="231" t="s">
        <v>355</v>
      </c>
      <c r="N3" s="231" t="s">
        <v>356</v>
      </c>
      <c r="O3" s="231" t="s">
        <v>357</v>
      </c>
      <c r="P3" s="231" t="s">
        <v>358</v>
      </c>
      <c r="Q3" s="235">
        <v>1</v>
      </c>
      <c r="R3" s="231" t="s">
        <v>359</v>
      </c>
      <c r="S3" s="231" t="s">
        <v>360</v>
      </c>
      <c r="T3" s="232">
        <v>80111620</v>
      </c>
      <c r="U3" s="245" t="s">
        <v>361</v>
      </c>
      <c r="V3" s="232">
        <v>1</v>
      </c>
      <c r="W3" s="232">
        <v>1</v>
      </c>
      <c r="X3" s="232">
        <v>330</v>
      </c>
      <c r="Y3" s="237" t="s">
        <v>362</v>
      </c>
      <c r="Z3" s="238" t="s">
        <v>363</v>
      </c>
      <c r="AA3" s="333">
        <v>69608000</v>
      </c>
      <c r="AB3" s="239">
        <v>6328000</v>
      </c>
      <c r="AC3" s="238" t="s">
        <v>364</v>
      </c>
      <c r="AD3" s="238" t="s">
        <v>365</v>
      </c>
      <c r="AE3" s="240"/>
      <c r="AF3" s="241"/>
      <c r="AG3" s="242"/>
      <c r="AH3" s="301"/>
      <c r="AI3" s="357">
        <f t="shared" ref="AI3:AI52" si="0">AB3/30*10</f>
        <v>2109333.3333333335</v>
      </c>
      <c r="AJ3" s="357">
        <f t="shared" ref="AJ3:AJ52" si="1">AB3</f>
        <v>6328000</v>
      </c>
      <c r="AK3" s="357">
        <v>6328000</v>
      </c>
      <c r="AL3" s="357">
        <v>6328000</v>
      </c>
      <c r="AM3" s="329">
        <v>6328000</v>
      </c>
      <c r="AN3" s="329">
        <v>6328000</v>
      </c>
      <c r="AO3" s="329">
        <v>6328000</v>
      </c>
      <c r="AP3" s="329">
        <v>6328000</v>
      </c>
      <c r="AQ3" s="329">
        <v>6328000</v>
      </c>
      <c r="AR3" s="329">
        <v>6328000</v>
      </c>
      <c r="AS3" s="329">
        <v>6328000</v>
      </c>
      <c r="AT3" s="329">
        <f t="shared" ref="AT3:AT52" si="2">AB3/30*20</f>
        <v>4218666.666666667</v>
      </c>
      <c r="AU3" s="326">
        <f t="shared" ref="AU3:AU71" si="3">SUM(AI3:AT3)</f>
        <v>69608000</v>
      </c>
      <c r="AV3" s="303">
        <f t="shared" ref="AV3:AV71" si="4">+AU3-AA3</f>
        <v>0</v>
      </c>
      <c r="AX3" s="300">
        <f t="shared" ref="AX3:AX31" si="5">+AU3</f>
        <v>69608000</v>
      </c>
      <c r="AY3" s="300">
        <v>0</v>
      </c>
      <c r="AZ3" s="300">
        <v>0</v>
      </c>
      <c r="BA3" s="300">
        <v>0</v>
      </c>
      <c r="BB3" s="299">
        <f t="shared" ref="BB3:BB71" si="6">SUM(AX3:BA3)</f>
        <v>69608000</v>
      </c>
    </row>
    <row r="4" spans="1:54" hidden="1">
      <c r="A4" s="231" t="s">
        <v>347</v>
      </c>
      <c r="B4" s="232" t="s">
        <v>348</v>
      </c>
      <c r="C4" s="232" t="s">
        <v>348</v>
      </c>
      <c r="D4" s="232">
        <v>364</v>
      </c>
      <c r="E4" s="233">
        <v>364</v>
      </c>
      <c r="F4" s="234">
        <v>7673</v>
      </c>
      <c r="G4" s="231" t="s">
        <v>349</v>
      </c>
      <c r="H4" s="231" t="s">
        <v>350</v>
      </c>
      <c r="I4" s="231" t="s">
        <v>351</v>
      </c>
      <c r="J4" s="231" t="s">
        <v>352</v>
      </c>
      <c r="K4" s="231" t="s">
        <v>353</v>
      </c>
      <c r="L4" s="231" t="s">
        <v>354</v>
      </c>
      <c r="M4" s="231" t="s">
        <v>355</v>
      </c>
      <c r="N4" s="231" t="s">
        <v>356</v>
      </c>
      <c r="O4" s="231" t="s">
        <v>357</v>
      </c>
      <c r="P4" s="231" t="s">
        <v>358</v>
      </c>
      <c r="Q4" s="235">
        <v>1</v>
      </c>
      <c r="R4" s="231" t="s">
        <v>359</v>
      </c>
      <c r="S4" s="231" t="s">
        <v>360</v>
      </c>
      <c r="T4" s="232">
        <v>80111620</v>
      </c>
      <c r="U4" s="231" t="s">
        <v>366</v>
      </c>
      <c r="V4" s="232">
        <v>1</v>
      </c>
      <c r="W4" s="232">
        <v>1</v>
      </c>
      <c r="X4" s="232">
        <v>330</v>
      </c>
      <c r="Y4" s="237" t="s">
        <v>362</v>
      </c>
      <c r="Z4" s="238" t="s">
        <v>363</v>
      </c>
      <c r="AA4" s="333">
        <v>69608000</v>
      </c>
      <c r="AB4" s="239">
        <v>6328000</v>
      </c>
      <c r="AC4" s="238" t="s">
        <v>367</v>
      </c>
      <c r="AD4" s="238" t="s">
        <v>365</v>
      </c>
      <c r="AE4" s="246"/>
      <c r="AF4" s="241"/>
      <c r="AG4" s="244"/>
      <c r="AH4" s="302"/>
      <c r="AI4" s="357">
        <f t="shared" si="0"/>
        <v>2109333.3333333335</v>
      </c>
      <c r="AJ4" s="357">
        <f t="shared" si="1"/>
        <v>6328000</v>
      </c>
      <c r="AK4" s="357">
        <v>6328000</v>
      </c>
      <c r="AL4" s="357">
        <v>6328000</v>
      </c>
      <c r="AM4" s="329">
        <v>6328000</v>
      </c>
      <c r="AN4" s="329">
        <v>6328000</v>
      </c>
      <c r="AO4" s="329">
        <v>6328000</v>
      </c>
      <c r="AP4" s="329">
        <v>6328000</v>
      </c>
      <c r="AQ4" s="329">
        <v>6328000</v>
      </c>
      <c r="AR4" s="329">
        <v>6328000</v>
      </c>
      <c r="AS4" s="329">
        <v>6328000</v>
      </c>
      <c r="AT4" s="329">
        <f t="shared" si="2"/>
        <v>4218666.666666667</v>
      </c>
      <c r="AU4" s="326">
        <f t="shared" si="3"/>
        <v>69608000</v>
      </c>
      <c r="AV4" s="303">
        <f t="shared" si="4"/>
        <v>0</v>
      </c>
      <c r="AX4" s="300">
        <f t="shared" si="5"/>
        <v>69608000</v>
      </c>
      <c r="AY4" s="300">
        <v>0</v>
      </c>
      <c r="AZ4" s="300">
        <v>0</v>
      </c>
      <c r="BA4" s="300">
        <v>0</v>
      </c>
      <c r="BB4" s="299">
        <f t="shared" si="6"/>
        <v>69608000</v>
      </c>
    </row>
    <row r="5" spans="1:54" hidden="1">
      <c r="A5" s="231" t="s">
        <v>347</v>
      </c>
      <c r="B5" s="232" t="s">
        <v>348</v>
      </c>
      <c r="C5" s="232" t="s">
        <v>348</v>
      </c>
      <c r="D5" s="232">
        <v>365</v>
      </c>
      <c r="E5" s="233">
        <v>365</v>
      </c>
      <c r="F5" s="234">
        <v>7673</v>
      </c>
      <c r="G5" s="231" t="s">
        <v>349</v>
      </c>
      <c r="H5" s="231" t="s">
        <v>350</v>
      </c>
      <c r="I5" s="231" t="s">
        <v>351</v>
      </c>
      <c r="J5" s="231" t="s">
        <v>352</v>
      </c>
      <c r="K5" s="231" t="s">
        <v>353</v>
      </c>
      <c r="L5" s="231" t="s">
        <v>354</v>
      </c>
      <c r="M5" s="231" t="s">
        <v>355</v>
      </c>
      <c r="N5" s="231" t="s">
        <v>356</v>
      </c>
      <c r="O5" s="231" t="s">
        <v>357</v>
      </c>
      <c r="P5" s="231" t="s">
        <v>358</v>
      </c>
      <c r="Q5" s="235">
        <v>1</v>
      </c>
      <c r="R5" s="231" t="s">
        <v>368</v>
      </c>
      <c r="S5" s="231" t="s">
        <v>369</v>
      </c>
      <c r="T5" s="232">
        <v>80111620</v>
      </c>
      <c r="U5" s="231" t="s">
        <v>370</v>
      </c>
      <c r="V5" s="232">
        <v>1</v>
      </c>
      <c r="W5" s="232">
        <v>1</v>
      </c>
      <c r="X5" s="232">
        <v>330</v>
      </c>
      <c r="Y5" s="237" t="s">
        <v>362</v>
      </c>
      <c r="Z5" s="238" t="s">
        <v>363</v>
      </c>
      <c r="AA5" s="333">
        <v>69608000</v>
      </c>
      <c r="AB5" s="239">
        <v>6328000</v>
      </c>
      <c r="AC5" s="238" t="s">
        <v>371</v>
      </c>
      <c r="AD5" s="238" t="s">
        <v>365</v>
      </c>
      <c r="AE5" s="240"/>
      <c r="AF5" s="241"/>
      <c r="AG5" s="242"/>
      <c r="AH5" s="301"/>
      <c r="AI5" s="357">
        <f t="shared" si="0"/>
        <v>2109333.3333333335</v>
      </c>
      <c r="AJ5" s="357">
        <f t="shared" si="1"/>
        <v>6328000</v>
      </c>
      <c r="AK5" s="357">
        <v>6328000</v>
      </c>
      <c r="AL5" s="357">
        <v>6328000</v>
      </c>
      <c r="AM5" s="329">
        <v>6328000</v>
      </c>
      <c r="AN5" s="329">
        <v>6328000</v>
      </c>
      <c r="AO5" s="329">
        <v>6328000</v>
      </c>
      <c r="AP5" s="329">
        <v>6328000</v>
      </c>
      <c r="AQ5" s="329">
        <v>6328000</v>
      </c>
      <c r="AR5" s="329">
        <v>6328000</v>
      </c>
      <c r="AS5" s="329">
        <v>6328000</v>
      </c>
      <c r="AT5" s="329">
        <f t="shared" si="2"/>
        <v>4218666.666666667</v>
      </c>
      <c r="AU5" s="326">
        <f t="shared" si="3"/>
        <v>69608000</v>
      </c>
      <c r="AV5" s="303">
        <f t="shared" si="4"/>
        <v>0</v>
      </c>
      <c r="AX5" s="300">
        <f t="shared" si="5"/>
        <v>69608000</v>
      </c>
      <c r="AY5" s="300">
        <v>0</v>
      </c>
      <c r="AZ5" s="300">
        <v>0</v>
      </c>
      <c r="BA5" s="300">
        <v>0</v>
      </c>
      <c r="BB5" s="299">
        <f t="shared" si="6"/>
        <v>69608000</v>
      </c>
    </row>
    <row r="6" spans="1:54" hidden="1">
      <c r="A6" s="231" t="s">
        <v>347</v>
      </c>
      <c r="B6" s="232" t="s">
        <v>348</v>
      </c>
      <c r="C6" s="232" t="s">
        <v>348</v>
      </c>
      <c r="D6" s="232">
        <v>366</v>
      </c>
      <c r="E6" s="233">
        <v>366</v>
      </c>
      <c r="F6" s="234">
        <v>7673</v>
      </c>
      <c r="G6" s="231" t="s">
        <v>349</v>
      </c>
      <c r="H6" s="231" t="s">
        <v>350</v>
      </c>
      <c r="I6" s="231" t="s">
        <v>351</v>
      </c>
      <c r="J6" s="231" t="s">
        <v>352</v>
      </c>
      <c r="K6" s="231" t="s">
        <v>353</v>
      </c>
      <c r="L6" s="231" t="s">
        <v>354</v>
      </c>
      <c r="M6" s="231" t="s">
        <v>355</v>
      </c>
      <c r="N6" s="231" t="s">
        <v>356</v>
      </c>
      <c r="O6" s="231" t="s">
        <v>357</v>
      </c>
      <c r="P6" s="231" t="s">
        <v>358</v>
      </c>
      <c r="Q6" s="235">
        <v>1</v>
      </c>
      <c r="R6" s="231" t="s">
        <v>359</v>
      </c>
      <c r="S6" s="231" t="s">
        <v>360</v>
      </c>
      <c r="T6" s="232">
        <v>80111620</v>
      </c>
      <c r="U6" s="236" t="s">
        <v>372</v>
      </c>
      <c r="V6" s="232">
        <v>1</v>
      </c>
      <c r="W6" s="232">
        <v>1</v>
      </c>
      <c r="X6" s="232">
        <v>360</v>
      </c>
      <c r="Y6" s="237" t="s">
        <v>362</v>
      </c>
      <c r="Z6" s="238" t="s">
        <v>363</v>
      </c>
      <c r="AA6" s="333">
        <v>80340000</v>
      </c>
      <c r="AB6" s="239">
        <v>6695000</v>
      </c>
      <c r="AC6" s="238" t="s">
        <v>373</v>
      </c>
      <c r="AD6" s="238" t="s">
        <v>365</v>
      </c>
      <c r="AE6" s="240"/>
      <c r="AF6" s="241"/>
      <c r="AG6" s="242"/>
      <c r="AH6" s="301"/>
      <c r="AI6" s="357">
        <v>6695000</v>
      </c>
      <c r="AJ6" s="357">
        <f t="shared" si="1"/>
        <v>6695000</v>
      </c>
      <c r="AK6" s="357">
        <v>6695000</v>
      </c>
      <c r="AL6" s="357">
        <v>6695000</v>
      </c>
      <c r="AM6" s="329">
        <v>6695000</v>
      </c>
      <c r="AN6" s="329">
        <v>6695000</v>
      </c>
      <c r="AO6" s="329">
        <v>6695000</v>
      </c>
      <c r="AP6" s="329">
        <v>6695000</v>
      </c>
      <c r="AQ6" s="329">
        <v>6695000</v>
      </c>
      <c r="AR6" s="329">
        <v>6695000</v>
      </c>
      <c r="AS6" s="329">
        <v>6695000</v>
      </c>
      <c r="AT6" s="329">
        <f>AB6/30*30</f>
        <v>6695000</v>
      </c>
      <c r="AU6" s="326">
        <f t="shared" si="3"/>
        <v>80340000</v>
      </c>
      <c r="AV6" s="303">
        <f t="shared" si="4"/>
        <v>0</v>
      </c>
      <c r="AX6" s="300">
        <f t="shared" si="5"/>
        <v>80340000</v>
      </c>
      <c r="AY6" s="300">
        <v>0</v>
      </c>
      <c r="AZ6" s="300">
        <v>0</v>
      </c>
      <c r="BA6" s="300">
        <v>0</v>
      </c>
      <c r="BB6" s="299">
        <f t="shared" si="6"/>
        <v>80340000</v>
      </c>
    </row>
    <row r="7" spans="1:54" hidden="1">
      <c r="A7" s="231" t="s">
        <v>347</v>
      </c>
      <c r="B7" s="232" t="s">
        <v>348</v>
      </c>
      <c r="C7" s="232" t="s">
        <v>348</v>
      </c>
      <c r="D7" s="232">
        <v>367</v>
      </c>
      <c r="E7" s="233">
        <v>367</v>
      </c>
      <c r="F7" s="234">
        <v>7673</v>
      </c>
      <c r="G7" s="231" t="s">
        <v>349</v>
      </c>
      <c r="H7" s="231" t="s">
        <v>350</v>
      </c>
      <c r="I7" s="231" t="s">
        <v>351</v>
      </c>
      <c r="J7" s="231" t="s">
        <v>352</v>
      </c>
      <c r="K7" s="231" t="s">
        <v>353</v>
      </c>
      <c r="L7" s="231" t="s">
        <v>354</v>
      </c>
      <c r="M7" s="231" t="s">
        <v>355</v>
      </c>
      <c r="N7" s="231" t="s">
        <v>356</v>
      </c>
      <c r="O7" s="231" t="s">
        <v>357</v>
      </c>
      <c r="P7" s="231" t="s">
        <v>358</v>
      </c>
      <c r="Q7" s="235">
        <v>1</v>
      </c>
      <c r="R7" s="231" t="s">
        <v>359</v>
      </c>
      <c r="S7" s="231" t="s">
        <v>360</v>
      </c>
      <c r="T7" s="232">
        <v>80111620</v>
      </c>
      <c r="U7" s="245" t="s">
        <v>374</v>
      </c>
      <c r="V7" s="232">
        <v>1</v>
      </c>
      <c r="W7" s="232">
        <v>1</v>
      </c>
      <c r="X7" s="232">
        <v>360</v>
      </c>
      <c r="Y7" s="237" t="s">
        <v>362</v>
      </c>
      <c r="Z7" s="238" t="s">
        <v>363</v>
      </c>
      <c r="AA7" s="333">
        <v>80340000</v>
      </c>
      <c r="AB7" s="239">
        <v>6695000</v>
      </c>
      <c r="AC7" s="238" t="s">
        <v>375</v>
      </c>
      <c r="AD7" s="238" t="s">
        <v>365</v>
      </c>
      <c r="AE7" s="240"/>
      <c r="AF7" s="241"/>
      <c r="AG7" s="242"/>
      <c r="AH7" s="301"/>
      <c r="AI7" s="357">
        <v>6695000</v>
      </c>
      <c r="AJ7" s="357">
        <f t="shared" si="1"/>
        <v>6695000</v>
      </c>
      <c r="AK7" s="357">
        <v>6695000</v>
      </c>
      <c r="AL7" s="357">
        <v>6695000</v>
      </c>
      <c r="AM7" s="329">
        <v>6695000</v>
      </c>
      <c r="AN7" s="329">
        <v>6695000</v>
      </c>
      <c r="AO7" s="329">
        <v>6695000</v>
      </c>
      <c r="AP7" s="329">
        <v>6695000</v>
      </c>
      <c r="AQ7" s="329">
        <v>6695000</v>
      </c>
      <c r="AR7" s="329">
        <v>6695000</v>
      </c>
      <c r="AS7" s="329">
        <v>6695000</v>
      </c>
      <c r="AT7" s="329">
        <v>6695000</v>
      </c>
      <c r="AU7" s="326">
        <f t="shared" si="3"/>
        <v>80340000</v>
      </c>
      <c r="AV7" s="303">
        <f t="shared" si="4"/>
        <v>0</v>
      </c>
      <c r="AX7" s="300">
        <f t="shared" si="5"/>
        <v>80340000</v>
      </c>
      <c r="AY7" s="300">
        <v>0</v>
      </c>
      <c r="AZ7" s="300">
        <v>0</v>
      </c>
      <c r="BA7" s="300">
        <v>0</v>
      </c>
      <c r="BB7" s="299">
        <f t="shared" si="6"/>
        <v>80340000</v>
      </c>
    </row>
    <row r="8" spans="1:54" hidden="1">
      <c r="A8" s="231" t="s">
        <v>347</v>
      </c>
      <c r="B8" s="232" t="s">
        <v>348</v>
      </c>
      <c r="C8" s="232" t="s">
        <v>348</v>
      </c>
      <c r="D8" s="232">
        <v>368</v>
      </c>
      <c r="E8" s="233">
        <v>368</v>
      </c>
      <c r="F8" s="234">
        <v>7673</v>
      </c>
      <c r="G8" s="231" t="s">
        <v>349</v>
      </c>
      <c r="H8" s="231" t="s">
        <v>350</v>
      </c>
      <c r="I8" s="231" t="s">
        <v>351</v>
      </c>
      <c r="J8" s="231" t="s">
        <v>352</v>
      </c>
      <c r="K8" s="231" t="s">
        <v>353</v>
      </c>
      <c r="L8" s="231" t="s">
        <v>354</v>
      </c>
      <c r="M8" s="231" t="s">
        <v>355</v>
      </c>
      <c r="N8" s="231" t="s">
        <v>356</v>
      </c>
      <c r="O8" s="231" t="s">
        <v>357</v>
      </c>
      <c r="P8" s="231" t="s">
        <v>358</v>
      </c>
      <c r="Q8" s="235">
        <v>1</v>
      </c>
      <c r="R8" s="231" t="s">
        <v>376</v>
      </c>
      <c r="S8" s="231" t="s">
        <v>377</v>
      </c>
      <c r="T8" s="232">
        <v>80111620</v>
      </c>
      <c r="U8" s="231" t="s">
        <v>378</v>
      </c>
      <c r="V8" s="232">
        <v>1</v>
      </c>
      <c r="W8" s="232">
        <v>1</v>
      </c>
      <c r="X8" s="232">
        <v>330</v>
      </c>
      <c r="Y8" s="237" t="s">
        <v>362</v>
      </c>
      <c r="Z8" s="238" t="s">
        <v>363</v>
      </c>
      <c r="AA8" s="333">
        <v>39655000</v>
      </c>
      <c r="AB8" s="239">
        <v>3605000</v>
      </c>
      <c r="AC8" s="238" t="s">
        <v>379</v>
      </c>
      <c r="AD8" s="238" t="s">
        <v>365</v>
      </c>
      <c r="AE8" s="240"/>
      <c r="AF8" s="241"/>
      <c r="AG8" s="242"/>
      <c r="AH8" s="301"/>
      <c r="AI8" s="357">
        <f t="shared" si="0"/>
        <v>1201666.6666666667</v>
      </c>
      <c r="AJ8" s="357">
        <f t="shared" si="1"/>
        <v>3605000</v>
      </c>
      <c r="AK8" s="357">
        <v>3605000</v>
      </c>
      <c r="AL8" s="329">
        <v>3605000</v>
      </c>
      <c r="AM8" s="329">
        <v>3605000</v>
      </c>
      <c r="AN8" s="329">
        <v>3605000</v>
      </c>
      <c r="AO8" s="329">
        <v>3605000</v>
      </c>
      <c r="AP8" s="329">
        <v>3605000</v>
      </c>
      <c r="AQ8" s="329">
        <v>3605000</v>
      </c>
      <c r="AR8" s="329">
        <v>3605000</v>
      </c>
      <c r="AS8" s="329">
        <v>3605000</v>
      </c>
      <c r="AT8" s="329">
        <f t="shared" si="2"/>
        <v>2403333.3333333335</v>
      </c>
      <c r="AU8" s="326">
        <f t="shared" si="3"/>
        <v>39655000.000000007</v>
      </c>
      <c r="AV8" s="303">
        <f t="shared" si="4"/>
        <v>0</v>
      </c>
      <c r="AX8" s="300">
        <f t="shared" si="5"/>
        <v>39655000.000000007</v>
      </c>
      <c r="AY8" s="300">
        <v>0</v>
      </c>
      <c r="AZ8" s="300">
        <v>0</v>
      </c>
      <c r="BA8" s="300">
        <v>0</v>
      </c>
      <c r="BB8" s="299">
        <f t="shared" si="6"/>
        <v>39655000.000000007</v>
      </c>
    </row>
    <row r="9" spans="1:54" hidden="1">
      <c r="A9" s="231" t="s">
        <v>347</v>
      </c>
      <c r="B9" s="232" t="s">
        <v>348</v>
      </c>
      <c r="C9" s="232" t="s">
        <v>348</v>
      </c>
      <c r="D9" s="232">
        <v>369</v>
      </c>
      <c r="E9" s="233">
        <v>369</v>
      </c>
      <c r="F9" s="234">
        <v>7673</v>
      </c>
      <c r="G9" s="231" t="s">
        <v>349</v>
      </c>
      <c r="H9" s="231" t="s">
        <v>350</v>
      </c>
      <c r="I9" s="231" t="s">
        <v>351</v>
      </c>
      <c r="J9" s="231" t="s">
        <v>352</v>
      </c>
      <c r="K9" s="231" t="s">
        <v>353</v>
      </c>
      <c r="L9" s="231" t="s">
        <v>354</v>
      </c>
      <c r="M9" s="231" t="s">
        <v>355</v>
      </c>
      <c r="N9" s="231" t="s">
        <v>356</v>
      </c>
      <c r="O9" s="231" t="s">
        <v>357</v>
      </c>
      <c r="P9" s="231" t="s">
        <v>358</v>
      </c>
      <c r="Q9" s="235">
        <v>1</v>
      </c>
      <c r="R9" s="231" t="s">
        <v>376</v>
      </c>
      <c r="S9" s="231" t="s">
        <v>377</v>
      </c>
      <c r="T9" s="232">
        <v>80111620</v>
      </c>
      <c r="U9" s="231" t="s">
        <v>378</v>
      </c>
      <c r="V9" s="232">
        <v>1</v>
      </c>
      <c r="W9" s="232">
        <v>1</v>
      </c>
      <c r="X9" s="232">
        <v>330</v>
      </c>
      <c r="Y9" s="237" t="s">
        <v>362</v>
      </c>
      <c r="Z9" s="238" t="s">
        <v>363</v>
      </c>
      <c r="AA9" s="333">
        <v>39655000</v>
      </c>
      <c r="AB9" s="239">
        <v>3605000</v>
      </c>
      <c r="AC9" s="238" t="s">
        <v>379</v>
      </c>
      <c r="AD9" s="238" t="s">
        <v>365</v>
      </c>
      <c r="AE9" s="240"/>
      <c r="AF9" s="241"/>
      <c r="AG9" s="242"/>
      <c r="AH9" s="301"/>
      <c r="AI9" s="357">
        <f t="shared" si="0"/>
        <v>1201666.6666666667</v>
      </c>
      <c r="AJ9" s="357">
        <f t="shared" si="1"/>
        <v>3605000</v>
      </c>
      <c r="AK9" s="357">
        <v>3605000</v>
      </c>
      <c r="AL9" s="329">
        <v>3605000</v>
      </c>
      <c r="AM9" s="329">
        <v>3605000</v>
      </c>
      <c r="AN9" s="329">
        <v>3605000</v>
      </c>
      <c r="AO9" s="329">
        <v>3605000</v>
      </c>
      <c r="AP9" s="329">
        <v>3605000</v>
      </c>
      <c r="AQ9" s="329">
        <v>3605000</v>
      </c>
      <c r="AR9" s="329">
        <v>3605000</v>
      </c>
      <c r="AS9" s="329">
        <v>3605000</v>
      </c>
      <c r="AT9" s="329">
        <f t="shared" si="2"/>
        <v>2403333.3333333335</v>
      </c>
      <c r="AU9" s="326">
        <f t="shared" si="3"/>
        <v>39655000.000000007</v>
      </c>
      <c r="AV9" s="303">
        <f t="shared" si="4"/>
        <v>0</v>
      </c>
      <c r="AX9" s="300">
        <f t="shared" si="5"/>
        <v>39655000.000000007</v>
      </c>
      <c r="AY9" s="300">
        <v>0</v>
      </c>
      <c r="AZ9" s="300">
        <v>0</v>
      </c>
      <c r="BA9" s="300">
        <v>0</v>
      </c>
      <c r="BB9" s="299">
        <f t="shared" si="6"/>
        <v>39655000.000000007</v>
      </c>
    </row>
    <row r="10" spans="1:54" hidden="1">
      <c r="A10" s="231" t="s">
        <v>347</v>
      </c>
      <c r="B10" s="232" t="s">
        <v>348</v>
      </c>
      <c r="C10" s="232" t="s">
        <v>348</v>
      </c>
      <c r="D10" s="232">
        <v>370</v>
      </c>
      <c r="E10" s="233">
        <v>370</v>
      </c>
      <c r="F10" s="234">
        <v>7673</v>
      </c>
      <c r="G10" s="231" t="s">
        <v>349</v>
      </c>
      <c r="H10" s="231" t="s">
        <v>350</v>
      </c>
      <c r="I10" s="231" t="s">
        <v>351</v>
      </c>
      <c r="J10" s="231" t="s">
        <v>352</v>
      </c>
      <c r="K10" s="231" t="s">
        <v>353</v>
      </c>
      <c r="L10" s="231" t="s">
        <v>354</v>
      </c>
      <c r="M10" s="231" t="s">
        <v>355</v>
      </c>
      <c r="N10" s="231" t="s">
        <v>356</v>
      </c>
      <c r="O10" s="231" t="s">
        <v>357</v>
      </c>
      <c r="P10" s="231" t="s">
        <v>358</v>
      </c>
      <c r="Q10" s="235">
        <v>1</v>
      </c>
      <c r="R10" s="231" t="s">
        <v>376</v>
      </c>
      <c r="S10" s="231" t="s">
        <v>377</v>
      </c>
      <c r="T10" s="232">
        <v>80111620</v>
      </c>
      <c r="U10" s="231" t="s">
        <v>378</v>
      </c>
      <c r="V10" s="232">
        <v>1</v>
      </c>
      <c r="W10" s="232">
        <v>1</v>
      </c>
      <c r="X10" s="232">
        <v>330</v>
      </c>
      <c r="Y10" s="237" t="s">
        <v>362</v>
      </c>
      <c r="Z10" s="238" t="s">
        <v>363</v>
      </c>
      <c r="AA10" s="333">
        <v>39655000</v>
      </c>
      <c r="AB10" s="239">
        <v>3605000</v>
      </c>
      <c r="AC10" s="238" t="s">
        <v>379</v>
      </c>
      <c r="AD10" s="238" t="s">
        <v>365</v>
      </c>
      <c r="AE10" s="240"/>
      <c r="AF10" s="241"/>
      <c r="AG10" s="242"/>
      <c r="AH10" s="301"/>
      <c r="AI10" s="357">
        <f t="shared" si="0"/>
        <v>1201666.6666666667</v>
      </c>
      <c r="AJ10" s="357">
        <f t="shared" si="1"/>
        <v>3605000</v>
      </c>
      <c r="AK10" s="357">
        <v>3605000</v>
      </c>
      <c r="AL10" s="329">
        <v>3605000</v>
      </c>
      <c r="AM10" s="329">
        <v>3605000</v>
      </c>
      <c r="AN10" s="329">
        <v>3605000</v>
      </c>
      <c r="AO10" s="329">
        <v>3605000</v>
      </c>
      <c r="AP10" s="329">
        <v>3605000</v>
      </c>
      <c r="AQ10" s="329">
        <v>3605000</v>
      </c>
      <c r="AR10" s="329">
        <v>3605000</v>
      </c>
      <c r="AS10" s="329">
        <v>3605000</v>
      </c>
      <c r="AT10" s="329">
        <f t="shared" si="2"/>
        <v>2403333.3333333335</v>
      </c>
      <c r="AU10" s="326">
        <f t="shared" si="3"/>
        <v>39655000.000000007</v>
      </c>
      <c r="AV10" s="303">
        <f t="shared" si="4"/>
        <v>0</v>
      </c>
      <c r="AX10" s="300">
        <f t="shared" si="5"/>
        <v>39655000.000000007</v>
      </c>
      <c r="AY10" s="300">
        <v>0</v>
      </c>
      <c r="AZ10" s="300">
        <v>0</v>
      </c>
      <c r="BA10" s="300">
        <v>0</v>
      </c>
      <c r="BB10" s="299">
        <f t="shared" si="6"/>
        <v>39655000.000000007</v>
      </c>
    </row>
    <row r="11" spans="1:54" hidden="1">
      <c r="A11" s="231" t="s">
        <v>347</v>
      </c>
      <c r="B11" s="232" t="s">
        <v>348</v>
      </c>
      <c r="C11" s="232" t="s">
        <v>348</v>
      </c>
      <c r="D11" s="232">
        <v>371</v>
      </c>
      <c r="E11" s="233">
        <v>371</v>
      </c>
      <c r="F11" s="234">
        <v>7673</v>
      </c>
      <c r="G11" s="231" t="s">
        <v>349</v>
      </c>
      <c r="H11" s="231" t="s">
        <v>350</v>
      </c>
      <c r="I11" s="231" t="s">
        <v>351</v>
      </c>
      <c r="J11" s="231" t="s">
        <v>352</v>
      </c>
      <c r="K11" s="231" t="s">
        <v>353</v>
      </c>
      <c r="L11" s="231" t="s">
        <v>354</v>
      </c>
      <c r="M11" s="231" t="s">
        <v>355</v>
      </c>
      <c r="N11" s="231" t="s">
        <v>356</v>
      </c>
      <c r="O11" s="231" t="s">
        <v>357</v>
      </c>
      <c r="P11" s="231" t="s">
        <v>358</v>
      </c>
      <c r="Q11" s="235">
        <v>1</v>
      </c>
      <c r="R11" s="231" t="s">
        <v>376</v>
      </c>
      <c r="S11" s="231" t="s">
        <v>377</v>
      </c>
      <c r="T11" s="232">
        <v>80111620</v>
      </c>
      <c r="U11" s="231" t="s">
        <v>378</v>
      </c>
      <c r="V11" s="232">
        <v>1</v>
      </c>
      <c r="W11" s="232">
        <v>1</v>
      </c>
      <c r="X11" s="232">
        <v>330</v>
      </c>
      <c r="Y11" s="237" t="s">
        <v>362</v>
      </c>
      <c r="Z11" s="238" t="s">
        <v>363</v>
      </c>
      <c r="AA11" s="333">
        <v>39655000</v>
      </c>
      <c r="AB11" s="239">
        <v>3605000</v>
      </c>
      <c r="AC11" s="238" t="s">
        <v>379</v>
      </c>
      <c r="AD11" s="238" t="s">
        <v>365</v>
      </c>
      <c r="AE11" s="240"/>
      <c r="AF11" s="241"/>
      <c r="AG11" s="242"/>
      <c r="AH11" s="301"/>
      <c r="AI11" s="357">
        <f t="shared" si="0"/>
        <v>1201666.6666666667</v>
      </c>
      <c r="AJ11" s="357">
        <f t="shared" si="1"/>
        <v>3605000</v>
      </c>
      <c r="AK11" s="357">
        <v>3605000</v>
      </c>
      <c r="AL11" s="329">
        <v>3605000</v>
      </c>
      <c r="AM11" s="329">
        <v>3605000</v>
      </c>
      <c r="AN11" s="329">
        <v>3605000</v>
      </c>
      <c r="AO11" s="329">
        <v>3605000</v>
      </c>
      <c r="AP11" s="329">
        <v>3605000</v>
      </c>
      <c r="AQ11" s="329">
        <v>3605000</v>
      </c>
      <c r="AR11" s="329">
        <v>3605000</v>
      </c>
      <c r="AS11" s="329">
        <v>3605000</v>
      </c>
      <c r="AT11" s="329">
        <f t="shared" si="2"/>
        <v>2403333.3333333335</v>
      </c>
      <c r="AU11" s="326">
        <f t="shared" si="3"/>
        <v>39655000.000000007</v>
      </c>
      <c r="AV11" s="303">
        <f t="shared" si="4"/>
        <v>0</v>
      </c>
      <c r="AX11" s="300">
        <f t="shared" si="5"/>
        <v>39655000.000000007</v>
      </c>
      <c r="AY11" s="300">
        <v>0</v>
      </c>
      <c r="AZ11" s="300">
        <v>0</v>
      </c>
      <c r="BA11" s="300">
        <v>0</v>
      </c>
      <c r="BB11" s="299">
        <f t="shared" si="6"/>
        <v>39655000.000000007</v>
      </c>
    </row>
    <row r="12" spans="1:54" hidden="1">
      <c r="A12" s="231" t="s">
        <v>347</v>
      </c>
      <c r="B12" s="232" t="s">
        <v>348</v>
      </c>
      <c r="C12" s="232" t="s">
        <v>348</v>
      </c>
      <c r="D12" s="232">
        <v>372</v>
      </c>
      <c r="E12" s="233">
        <v>372</v>
      </c>
      <c r="F12" s="234">
        <v>7673</v>
      </c>
      <c r="G12" s="231" t="s">
        <v>349</v>
      </c>
      <c r="H12" s="231" t="s">
        <v>350</v>
      </c>
      <c r="I12" s="231" t="s">
        <v>351</v>
      </c>
      <c r="J12" s="231" t="s">
        <v>352</v>
      </c>
      <c r="K12" s="231" t="s">
        <v>353</v>
      </c>
      <c r="L12" s="231" t="s">
        <v>354</v>
      </c>
      <c r="M12" s="231" t="s">
        <v>355</v>
      </c>
      <c r="N12" s="231" t="s">
        <v>356</v>
      </c>
      <c r="O12" s="231" t="s">
        <v>357</v>
      </c>
      <c r="P12" s="231" t="s">
        <v>358</v>
      </c>
      <c r="Q12" s="235">
        <v>1</v>
      </c>
      <c r="R12" s="231" t="s">
        <v>376</v>
      </c>
      <c r="S12" s="231" t="s">
        <v>377</v>
      </c>
      <c r="T12" s="232">
        <v>80111620</v>
      </c>
      <c r="U12" s="231" t="s">
        <v>378</v>
      </c>
      <c r="V12" s="232">
        <v>1</v>
      </c>
      <c r="W12" s="232">
        <v>1</v>
      </c>
      <c r="X12" s="232">
        <v>330</v>
      </c>
      <c r="Y12" s="237" t="s">
        <v>362</v>
      </c>
      <c r="Z12" s="238" t="s">
        <v>363</v>
      </c>
      <c r="AA12" s="333">
        <v>39655000</v>
      </c>
      <c r="AB12" s="239">
        <v>3605000</v>
      </c>
      <c r="AC12" s="238" t="s">
        <v>379</v>
      </c>
      <c r="AD12" s="238" t="s">
        <v>365</v>
      </c>
      <c r="AE12" s="240"/>
      <c r="AF12" s="241"/>
      <c r="AG12" s="242"/>
      <c r="AH12" s="301"/>
      <c r="AI12" s="357">
        <f t="shared" si="0"/>
        <v>1201666.6666666667</v>
      </c>
      <c r="AJ12" s="357">
        <f t="shared" si="1"/>
        <v>3605000</v>
      </c>
      <c r="AK12" s="357">
        <v>3605000</v>
      </c>
      <c r="AL12" s="357">
        <v>3605000</v>
      </c>
      <c r="AM12" s="329">
        <v>3605000</v>
      </c>
      <c r="AN12" s="329">
        <v>3605000</v>
      </c>
      <c r="AO12" s="329">
        <v>3605000</v>
      </c>
      <c r="AP12" s="329">
        <v>3605000</v>
      </c>
      <c r="AQ12" s="329">
        <v>3605000</v>
      </c>
      <c r="AR12" s="329">
        <v>3605000</v>
      </c>
      <c r="AS12" s="329">
        <v>3605000</v>
      </c>
      <c r="AT12" s="329">
        <f t="shared" si="2"/>
        <v>2403333.3333333335</v>
      </c>
      <c r="AU12" s="326">
        <f t="shared" si="3"/>
        <v>39655000.000000007</v>
      </c>
      <c r="AV12" s="303">
        <f t="shared" si="4"/>
        <v>0</v>
      </c>
      <c r="AX12" s="300">
        <f t="shared" si="5"/>
        <v>39655000.000000007</v>
      </c>
      <c r="AY12" s="300">
        <v>0</v>
      </c>
      <c r="AZ12" s="300">
        <v>0</v>
      </c>
      <c r="BA12" s="300">
        <v>0</v>
      </c>
      <c r="BB12" s="299">
        <f t="shared" si="6"/>
        <v>39655000.000000007</v>
      </c>
    </row>
    <row r="13" spans="1:54" hidden="1">
      <c r="A13" s="231" t="s">
        <v>347</v>
      </c>
      <c r="B13" s="232" t="s">
        <v>348</v>
      </c>
      <c r="C13" s="232" t="s">
        <v>348</v>
      </c>
      <c r="D13" s="232">
        <v>373</v>
      </c>
      <c r="E13" s="233">
        <v>373</v>
      </c>
      <c r="F13" s="234">
        <v>7673</v>
      </c>
      <c r="G13" s="231" t="s">
        <v>349</v>
      </c>
      <c r="H13" s="231" t="s">
        <v>350</v>
      </c>
      <c r="I13" s="231" t="s">
        <v>351</v>
      </c>
      <c r="J13" s="231" t="s">
        <v>352</v>
      </c>
      <c r="K13" s="231" t="s">
        <v>353</v>
      </c>
      <c r="L13" s="231" t="s">
        <v>354</v>
      </c>
      <c r="M13" s="231" t="s">
        <v>355</v>
      </c>
      <c r="N13" s="231" t="s">
        <v>356</v>
      </c>
      <c r="O13" s="231" t="s">
        <v>357</v>
      </c>
      <c r="P13" s="231" t="s">
        <v>358</v>
      </c>
      <c r="Q13" s="235">
        <v>1</v>
      </c>
      <c r="R13" s="231" t="s">
        <v>376</v>
      </c>
      <c r="S13" s="231" t="s">
        <v>377</v>
      </c>
      <c r="T13" s="232">
        <v>80111620</v>
      </c>
      <c r="U13" s="231" t="s">
        <v>378</v>
      </c>
      <c r="V13" s="232">
        <v>1</v>
      </c>
      <c r="W13" s="232">
        <v>1</v>
      </c>
      <c r="X13" s="232">
        <v>330</v>
      </c>
      <c r="Y13" s="237" t="s">
        <v>362</v>
      </c>
      <c r="Z13" s="238" t="s">
        <v>363</v>
      </c>
      <c r="AA13" s="333">
        <v>39655000</v>
      </c>
      <c r="AB13" s="239">
        <v>3605000</v>
      </c>
      <c r="AC13" s="238" t="s">
        <v>379</v>
      </c>
      <c r="AD13" s="238" t="s">
        <v>365</v>
      </c>
      <c r="AE13" s="240"/>
      <c r="AF13" s="241"/>
      <c r="AG13" s="242"/>
      <c r="AH13" s="301"/>
      <c r="AI13" s="357">
        <f t="shared" si="0"/>
        <v>1201666.6666666667</v>
      </c>
      <c r="AJ13" s="357">
        <f t="shared" si="1"/>
        <v>3605000</v>
      </c>
      <c r="AK13" s="357">
        <v>3605000</v>
      </c>
      <c r="AL13" s="357">
        <v>3605000</v>
      </c>
      <c r="AM13" s="329">
        <v>3605000</v>
      </c>
      <c r="AN13" s="329">
        <v>3605000</v>
      </c>
      <c r="AO13" s="329">
        <v>3605000</v>
      </c>
      <c r="AP13" s="329">
        <v>3605000</v>
      </c>
      <c r="AQ13" s="329">
        <v>3605000</v>
      </c>
      <c r="AR13" s="329">
        <v>3605000</v>
      </c>
      <c r="AS13" s="329">
        <v>3605000</v>
      </c>
      <c r="AT13" s="329">
        <f t="shared" si="2"/>
        <v>2403333.3333333335</v>
      </c>
      <c r="AU13" s="326">
        <f t="shared" si="3"/>
        <v>39655000.000000007</v>
      </c>
      <c r="AV13" s="303">
        <f t="shared" si="4"/>
        <v>0</v>
      </c>
      <c r="AX13" s="300">
        <f t="shared" si="5"/>
        <v>39655000.000000007</v>
      </c>
      <c r="AY13" s="300">
        <v>0</v>
      </c>
      <c r="AZ13" s="300">
        <v>0</v>
      </c>
      <c r="BA13" s="300">
        <v>0</v>
      </c>
      <c r="BB13" s="299">
        <f t="shared" si="6"/>
        <v>39655000.000000007</v>
      </c>
    </row>
    <row r="14" spans="1:54" hidden="1">
      <c r="A14" s="231" t="s">
        <v>347</v>
      </c>
      <c r="B14" s="232" t="s">
        <v>348</v>
      </c>
      <c r="C14" s="232" t="s">
        <v>348</v>
      </c>
      <c r="D14" s="232">
        <v>374</v>
      </c>
      <c r="E14" s="233">
        <v>374</v>
      </c>
      <c r="F14" s="234">
        <v>7673</v>
      </c>
      <c r="G14" s="231" t="s">
        <v>349</v>
      </c>
      <c r="H14" s="231" t="s">
        <v>350</v>
      </c>
      <c r="I14" s="231" t="s">
        <v>351</v>
      </c>
      <c r="J14" s="231" t="s">
        <v>352</v>
      </c>
      <c r="K14" s="231" t="s">
        <v>353</v>
      </c>
      <c r="L14" s="231" t="s">
        <v>354</v>
      </c>
      <c r="M14" s="231" t="s">
        <v>355</v>
      </c>
      <c r="N14" s="231" t="s">
        <v>356</v>
      </c>
      <c r="O14" s="231" t="s">
        <v>357</v>
      </c>
      <c r="P14" s="231" t="s">
        <v>358</v>
      </c>
      <c r="Q14" s="235">
        <v>1</v>
      </c>
      <c r="R14" s="231" t="s">
        <v>376</v>
      </c>
      <c r="S14" s="231" t="s">
        <v>377</v>
      </c>
      <c r="T14" s="232">
        <v>80111620</v>
      </c>
      <c r="U14" s="231" t="s">
        <v>378</v>
      </c>
      <c r="V14" s="232">
        <v>1</v>
      </c>
      <c r="W14" s="232">
        <v>1</v>
      </c>
      <c r="X14" s="232">
        <v>330</v>
      </c>
      <c r="Y14" s="237" t="s">
        <v>362</v>
      </c>
      <c r="Z14" s="238" t="s">
        <v>363</v>
      </c>
      <c r="AA14" s="333">
        <v>39655000</v>
      </c>
      <c r="AB14" s="239">
        <v>3605000</v>
      </c>
      <c r="AC14" s="238" t="s">
        <v>379</v>
      </c>
      <c r="AD14" s="238" t="s">
        <v>365</v>
      </c>
      <c r="AE14" s="240"/>
      <c r="AF14" s="241"/>
      <c r="AG14" s="242"/>
      <c r="AH14" s="301"/>
      <c r="AI14" s="357">
        <f t="shared" si="0"/>
        <v>1201666.6666666667</v>
      </c>
      <c r="AJ14" s="357">
        <f t="shared" si="1"/>
        <v>3605000</v>
      </c>
      <c r="AK14" s="357">
        <v>3605000</v>
      </c>
      <c r="AL14" s="357">
        <v>3605000</v>
      </c>
      <c r="AM14" s="329">
        <v>3605000</v>
      </c>
      <c r="AN14" s="329">
        <v>3605000</v>
      </c>
      <c r="AO14" s="329">
        <v>3605000</v>
      </c>
      <c r="AP14" s="329">
        <v>3605000</v>
      </c>
      <c r="AQ14" s="329">
        <v>3605000</v>
      </c>
      <c r="AR14" s="329">
        <v>3605000</v>
      </c>
      <c r="AS14" s="329">
        <v>3605000</v>
      </c>
      <c r="AT14" s="329">
        <f t="shared" si="2"/>
        <v>2403333.3333333335</v>
      </c>
      <c r="AU14" s="326">
        <f t="shared" si="3"/>
        <v>39655000.000000007</v>
      </c>
      <c r="AV14" s="303">
        <f t="shared" si="4"/>
        <v>0</v>
      </c>
      <c r="AX14" s="300">
        <f t="shared" si="5"/>
        <v>39655000.000000007</v>
      </c>
      <c r="AY14" s="300">
        <v>0</v>
      </c>
      <c r="AZ14" s="300">
        <v>0</v>
      </c>
      <c r="BA14" s="300">
        <v>0</v>
      </c>
      <c r="BB14" s="299">
        <f t="shared" si="6"/>
        <v>39655000.000000007</v>
      </c>
    </row>
    <row r="15" spans="1:54" hidden="1">
      <c r="A15" s="231" t="s">
        <v>347</v>
      </c>
      <c r="B15" s="232" t="s">
        <v>348</v>
      </c>
      <c r="C15" s="232" t="s">
        <v>348</v>
      </c>
      <c r="D15" s="232">
        <v>375</v>
      </c>
      <c r="E15" s="233">
        <v>375</v>
      </c>
      <c r="F15" s="234">
        <v>7673</v>
      </c>
      <c r="G15" s="231" t="s">
        <v>349</v>
      </c>
      <c r="H15" s="231" t="s">
        <v>350</v>
      </c>
      <c r="I15" s="231" t="s">
        <v>351</v>
      </c>
      <c r="J15" s="231" t="s">
        <v>352</v>
      </c>
      <c r="K15" s="231" t="s">
        <v>353</v>
      </c>
      <c r="L15" s="231" t="s">
        <v>354</v>
      </c>
      <c r="M15" s="231" t="s">
        <v>355</v>
      </c>
      <c r="N15" s="231" t="s">
        <v>356</v>
      </c>
      <c r="O15" s="231" t="s">
        <v>357</v>
      </c>
      <c r="P15" s="231" t="s">
        <v>358</v>
      </c>
      <c r="Q15" s="235">
        <v>1</v>
      </c>
      <c r="R15" s="231" t="s">
        <v>376</v>
      </c>
      <c r="S15" s="231" t="s">
        <v>377</v>
      </c>
      <c r="T15" s="232">
        <v>80111620</v>
      </c>
      <c r="U15" s="231" t="s">
        <v>378</v>
      </c>
      <c r="V15" s="232">
        <v>1</v>
      </c>
      <c r="W15" s="232">
        <v>1</v>
      </c>
      <c r="X15" s="232">
        <v>330</v>
      </c>
      <c r="Y15" s="237" t="s">
        <v>362</v>
      </c>
      <c r="Z15" s="238" t="s">
        <v>363</v>
      </c>
      <c r="AA15" s="333">
        <v>39655000</v>
      </c>
      <c r="AB15" s="239">
        <v>3605000</v>
      </c>
      <c r="AC15" s="238" t="s">
        <v>379</v>
      </c>
      <c r="AD15" s="238" t="s">
        <v>365</v>
      </c>
      <c r="AE15" s="240"/>
      <c r="AF15" s="241"/>
      <c r="AG15" s="242"/>
      <c r="AH15" s="301"/>
      <c r="AI15" s="357">
        <f t="shared" si="0"/>
        <v>1201666.6666666667</v>
      </c>
      <c r="AJ15" s="357">
        <f t="shared" si="1"/>
        <v>3605000</v>
      </c>
      <c r="AK15" s="357">
        <v>3605000</v>
      </c>
      <c r="AL15" s="357">
        <v>3605000</v>
      </c>
      <c r="AM15" s="329">
        <v>3605000</v>
      </c>
      <c r="AN15" s="329">
        <v>3605000</v>
      </c>
      <c r="AO15" s="329">
        <v>3605000</v>
      </c>
      <c r="AP15" s="329">
        <v>3605000</v>
      </c>
      <c r="AQ15" s="329">
        <v>3605000</v>
      </c>
      <c r="AR15" s="329">
        <v>3605000</v>
      </c>
      <c r="AS15" s="329">
        <v>3605000</v>
      </c>
      <c r="AT15" s="329">
        <f t="shared" si="2"/>
        <v>2403333.3333333335</v>
      </c>
      <c r="AU15" s="326">
        <f t="shared" si="3"/>
        <v>39655000.000000007</v>
      </c>
      <c r="AV15" s="303">
        <f t="shared" si="4"/>
        <v>0</v>
      </c>
      <c r="AX15" s="300">
        <f t="shared" si="5"/>
        <v>39655000.000000007</v>
      </c>
      <c r="AY15" s="300">
        <v>0</v>
      </c>
      <c r="AZ15" s="300">
        <v>0</v>
      </c>
      <c r="BA15" s="300">
        <v>0</v>
      </c>
      <c r="BB15" s="299">
        <f t="shared" si="6"/>
        <v>39655000.000000007</v>
      </c>
    </row>
    <row r="16" spans="1:54" hidden="1">
      <c r="A16" s="231" t="s">
        <v>347</v>
      </c>
      <c r="B16" s="232" t="s">
        <v>348</v>
      </c>
      <c r="C16" s="232" t="s">
        <v>348</v>
      </c>
      <c r="D16" s="232">
        <v>376</v>
      </c>
      <c r="E16" s="233">
        <v>376</v>
      </c>
      <c r="F16" s="234">
        <v>7673</v>
      </c>
      <c r="G16" s="231" t="s">
        <v>349</v>
      </c>
      <c r="H16" s="231" t="s">
        <v>350</v>
      </c>
      <c r="I16" s="231" t="s">
        <v>351</v>
      </c>
      <c r="J16" s="231" t="s">
        <v>352</v>
      </c>
      <c r="K16" s="231" t="s">
        <v>353</v>
      </c>
      <c r="L16" s="231" t="s">
        <v>354</v>
      </c>
      <c r="M16" s="231" t="s">
        <v>355</v>
      </c>
      <c r="N16" s="231" t="s">
        <v>356</v>
      </c>
      <c r="O16" s="231" t="s">
        <v>357</v>
      </c>
      <c r="P16" s="231" t="s">
        <v>358</v>
      </c>
      <c r="Q16" s="235">
        <v>1</v>
      </c>
      <c r="R16" s="231" t="s">
        <v>376</v>
      </c>
      <c r="S16" s="231" t="s">
        <v>377</v>
      </c>
      <c r="T16" s="232">
        <v>80111620</v>
      </c>
      <c r="U16" s="231" t="s">
        <v>378</v>
      </c>
      <c r="V16" s="232">
        <v>1</v>
      </c>
      <c r="W16" s="232">
        <v>1</v>
      </c>
      <c r="X16" s="232">
        <v>330</v>
      </c>
      <c r="Y16" s="237" t="s">
        <v>362</v>
      </c>
      <c r="Z16" s="238" t="s">
        <v>363</v>
      </c>
      <c r="AA16" s="333">
        <v>39655000</v>
      </c>
      <c r="AB16" s="239">
        <v>3605000</v>
      </c>
      <c r="AC16" s="238" t="s">
        <v>379</v>
      </c>
      <c r="AD16" s="238" t="s">
        <v>365</v>
      </c>
      <c r="AE16" s="240"/>
      <c r="AF16" s="241"/>
      <c r="AG16" s="242"/>
      <c r="AH16" s="301"/>
      <c r="AI16" s="357">
        <f t="shared" si="0"/>
        <v>1201666.6666666667</v>
      </c>
      <c r="AJ16" s="357">
        <f t="shared" si="1"/>
        <v>3605000</v>
      </c>
      <c r="AK16" s="357">
        <v>3605000</v>
      </c>
      <c r="AL16" s="357">
        <v>3605000</v>
      </c>
      <c r="AM16" s="329">
        <v>3605000</v>
      </c>
      <c r="AN16" s="329">
        <v>3605000</v>
      </c>
      <c r="AO16" s="329">
        <v>3605000</v>
      </c>
      <c r="AP16" s="329">
        <v>3605000</v>
      </c>
      <c r="AQ16" s="329">
        <v>3605000</v>
      </c>
      <c r="AR16" s="329">
        <v>3605000</v>
      </c>
      <c r="AS16" s="329">
        <v>3605000</v>
      </c>
      <c r="AT16" s="329">
        <f t="shared" si="2"/>
        <v>2403333.3333333335</v>
      </c>
      <c r="AU16" s="326">
        <f t="shared" si="3"/>
        <v>39655000.000000007</v>
      </c>
      <c r="AV16" s="303">
        <f t="shared" si="4"/>
        <v>0</v>
      </c>
      <c r="AX16" s="300">
        <f t="shared" si="5"/>
        <v>39655000.000000007</v>
      </c>
      <c r="AY16" s="300">
        <v>0</v>
      </c>
      <c r="AZ16" s="300">
        <v>0</v>
      </c>
      <c r="BA16" s="300">
        <v>0</v>
      </c>
      <c r="BB16" s="299">
        <f t="shared" si="6"/>
        <v>39655000.000000007</v>
      </c>
    </row>
    <row r="17" spans="1:54" hidden="1">
      <c r="A17" s="231" t="s">
        <v>347</v>
      </c>
      <c r="B17" s="232" t="s">
        <v>348</v>
      </c>
      <c r="C17" s="232" t="s">
        <v>348</v>
      </c>
      <c r="D17" s="232">
        <v>377</v>
      </c>
      <c r="E17" s="233">
        <v>377</v>
      </c>
      <c r="F17" s="234">
        <v>7673</v>
      </c>
      <c r="G17" s="231" t="s">
        <v>349</v>
      </c>
      <c r="H17" s="231" t="s">
        <v>350</v>
      </c>
      <c r="I17" s="231" t="s">
        <v>351</v>
      </c>
      <c r="J17" s="231" t="s">
        <v>352</v>
      </c>
      <c r="K17" s="231" t="s">
        <v>353</v>
      </c>
      <c r="L17" s="231" t="s">
        <v>354</v>
      </c>
      <c r="M17" s="231" t="s">
        <v>355</v>
      </c>
      <c r="N17" s="231" t="s">
        <v>356</v>
      </c>
      <c r="O17" s="231" t="s">
        <v>357</v>
      </c>
      <c r="P17" s="231" t="s">
        <v>358</v>
      </c>
      <c r="Q17" s="235">
        <v>1</v>
      </c>
      <c r="R17" s="231" t="s">
        <v>376</v>
      </c>
      <c r="S17" s="231" t="s">
        <v>377</v>
      </c>
      <c r="T17" s="232">
        <v>80111620</v>
      </c>
      <c r="U17" s="231" t="s">
        <v>378</v>
      </c>
      <c r="V17" s="232">
        <v>1</v>
      </c>
      <c r="W17" s="232">
        <v>1</v>
      </c>
      <c r="X17" s="232">
        <v>330</v>
      </c>
      <c r="Y17" s="237" t="s">
        <v>362</v>
      </c>
      <c r="Z17" s="238" t="s">
        <v>363</v>
      </c>
      <c r="AA17" s="333">
        <v>39655000</v>
      </c>
      <c r="AB17" s="239">
        <v>3605000</v>
      </c>
      <c r="AC17" s="238" t="s">
        <v>379</v>
      </c>
      <c r="AD17" s="238" t="s">
        <v>365</v>
      </c>
      <c r="AE17" s="240"/>
      <c r="AF17" s="241"/>
      <c r="AG17" s="242"/>
      <c r="AH17" s="301"/>
      <c r="AI17" s="357">
        <f t="shared" si="0"/>
        <v>1201666.6666666667</v>
      </c>
      <c r="AJ17" s="357">
        <f t="shared" si="1"/>
        <v>3605000</v>
      </c>
      <c r="AK17" s="357">
        <v>3605000</v>
      </c>
      <c r="AL17" s="357">
        <v>3605000</v>
      </c>
      <c r="AM17" s="329">
        <v>3605000</v>
      </c>
      <c r="AN17" s="329">
        <v>3605000</v>
      </c>
      <c r="AO17" s="329">
        <v>3605000</v>
      </c>
      <c r="AP17" s="329">
        <v>3605000</v>
      </c>
      <c r="AQ17" s="329">
        <v>3605000</v>
      </c>
      <c r="AR17" s="329">
        <v>3605000</v>
      </c>
      <c r="AS17" s="329">
        <v>3605000</v>
      </c>
      <c r="AT17" s="329">
        <f t="shared" si="2"/>
        <v>2403333.3333333335</v>
      </c>
      <c r="AU17" s="326">
        <f t="shared" si="3"/>
        <v>39655000.000000007</v>
      </c>
      <c r="AV17" s="303">
        <f t="shared" si="4"/>
        <v>0</v>
      </c>
      <c r="AX17" s="300">
        <f t="shared" si="5"/>
        <v>39655000.000000007</v>
      </c>
      <c r="AY17" s="300">
        <v>0</v>
      </c>
      <c r="AZ17" s="300">
        <v>0</v>
      </c>
      <c r="BA17" s="300">
        <v>0</v>
      </c>
      <c r="BB17" s="299">
        <f t="shared" si="6"/>
        <v>39655000.000000007</v>
      </c>
    </row>
    <row r="18" spans="1:54" hidden="1">
      <c r="A18" s="231" t="s">
        <v>347</v>
      </c>
      <c r="B18" s="232" t="s">
        <v>348</v>
      </c>
      <c r="C18" s="232" t="s">
        <v>348</v>
      </c>
      <c r="D18" s="232">
        <v>378</v>
      </c>
      <c r="E18" s="233">
        <v>378</v>
      </c>
      <c r="F18" s="234">
        <v>7673</v>
      </c>
      <c r="G18" s="231" t="s">
        <v>349</v>
      </c>
      <c r="H18" s="231" t="s">
        <v>350</v>
      </c>
      <c r="I18" s="231" t="s">
        <v>351</v>
      </c>
      <c r="J18" s="231" t="s">
        <v>352</v>
      </c>
      <c r="K18" s="231" t="s">
        <v>353</v>
      </c>
      <c r="L18" s="231" t="s">
        <v>354</v>
      </c>
      <c r="M18" s="231" t="s">
        <v>355</v>
      </c>
      <c r="N18" s="231" t="s">
        <v>356</v>
      </c>
      <c r="O18" s="231" t="s">
        <v>357</v>
      </c>
      <c r="P18" s="231" t="s">
        <v>358</v>
      </c>
      <c r="Q18" s="235">
        <v>1</v>
      </c>
      <c r="R18" s="231" t="s">
        <v>376</v>
      </c>
      <c r="S18" s="231" t="s">
        <v>377</v>
      </c>
      <c r="T18" s="232">
        <v>80111620</v>
      </c>
      <c r="U18" s="231" t="s">
        <v>378</v>
      </c>
      <c r="V18" s="232">
        <v>1</v>
      </c>
      <c r="W18" s="232">
        <v>1</v>
      </c>
      <c r="X18" s="232">
        <v>330</v>
      </c>
      <c r="Y18" s="237" t="s">
        <v>362</v>
      </c>
      <c r="Z18" s="238" t="s">
        <v>363</v>
      </c>
      <c r="AA18" s="333">
        <v>39655000</v>
      </c>
      <c r="AB18" s="239">
        <v>3605000</v>
      </c>
      <c r="AC18" s="238" t="s">
        <v>379</v>
      </c>
      <c r="AD18" s="238" t="s">
        <v>365</v>
      </c>
      <c r="AE18" s="240"/>
      <c r="AF18" s="241"/>
      <c r="AG18" s="242"/>
      <c r="AH18" s="301"/>
      <c r="AI18" s="357">
        <f t="shared" si="0"/>
        <v>1201666.6666666667</v>
      </c>
      <c r="AJ18" s="357">
        <f t="shared" si="1"/>
        <v>3605000</v>
      </c>
      <c r="AK18" s="357">
        <v>3605000</v>
      </c>
      <c r="AL18" s="357">
        <v>3605000</v>
      </c>
      <c r="AM18" s="329">
        <v>3605000</v>
      </c>
      <c r="AN18" s="329">
        <v>3605000</v>
      </c>
      <c r="AO18" s="329">
        <v>3605000</v>
      </c>
      <c r="AP18" s="329">
        <v>3605000</v>
      </c>
      <c r="AQ18" s="329">
        <v>3605000</v>
      </c>
      <c r="AR18" s="329">
        <v>3605000</v>
      </c>
      <c r="AS18" s="329">
        <v>3605000</v>
      </c>
      <c r="AT18" s="329">
        <f t="shared" si="2"/>
        <v>2403333.3333333335</v>
      </c>
      <c r="AU18" s="326">
        <f t="shared" si="3"/>
        <v>39655000.000000007</v>
      </c>
      <c r="AV18" s="303">
        <f t="shared" si="4"/>
        <v>0</v>
      </c>
      <c r="AX18" s="300">
        <f t="shared" si="5"/>
        <v>39655000.000000007</v>
      </c>
      <c r="AY18" s="300">
        <v>0</v>
      </c>
      <c r="AZ18" s="300">
        <v>0</v>
      </c>
      <c r="BA18" s="300">
        <v>0</v>
      </c>
      <c r="BB18" s="299">
        <f t="shared" si="6"/>
        <v>39655000.000000007</v>
      </c>
    </row>
    <row r="19" spans="1:54" hidden="1">
      <c r="A19" s="231" t="s">
        <v>347</v>
      </c>
      <c r="B19" s="232" t="s">
        <v>348</v>
      </c>
      <c r="C19" s="232" t="s">
        <v>348</v>
      </c>
      <c r="D19" s="232">
        <v>379</v>
      </c>
      <c r="E19" s="233">
        <v>379</v>
      </c>
      <c r="F19" s="234">
        <v>7673</v>
      </c>
      <c r="G19" s="231" t="s">
        <v>349</v>
      </c>
      <c r="H19" s="231" t="s">
        <v>350</v>
      </c>
      <c r="I19" s="231" t="s">
        <v>351</v>
      </c>
      <c r="J19" s="231" t="s">
        <v>352</v>
      </c>
      <c r="K19" s="231" t="s">
        <v>353</v>
      </c>
      <c r="L19" s="231" t="s">
        <v>354</v>
      </c>
      <c r="M19" s="231" t="s">
        <v>355</v>
      </c>
      <c r="N19" s="231" t="s">
        <v>356</v>
      </c>
      <c r="O19" s="231" t="s">
        <v>357</v>
      </c>
      <c r="P19" s="231" t="s">
        <v>358</v>
      </c>
      <c r="Q19" s="235">
        <v>1</v>
      </c>
      <c r="R19" s="231" t="s">
        <v>376</v>
      </c>
      <c r="S19" s="231" t="s">
        <v>377</v>
      </c>
      <c r="T19" s="232">
        <v>80111620</v>
      </c>
      <c r="U19" s="231" t="s">
        <v>378</v>
      </c>
      <c r="V19" s="232">
        <v>1</v>
      </c>
      <c r="W19" s="232">
        <v>1</v>
      </c>
      <c r="X19" s="232">
        <v>330</v>
      </c>
      <c r="Y19" s="237" t="s">
        <v>362</v>
      </c>
      <c r="Z19" s="238" t="s">
        <v>363</v>
      </c>
      <c r="AA19" s="333">
        <v>39655000</v>
      </c>
      <c r="AB19" s="239">
        <v>3605000</v>
      </c>
      <c r="AC19" s="238" t="s">
        <v>379</v>
      </c>
      <c r="AD19" s="238" t="s">
        <v>365</v>
      </c>
      <c r="AE19" s="240"/>
      <c r="AF19" s="241"/>
      <c r="AG19" s="242"/>
      <c r="AH19" s="301"/>
      <c r="AI19" s="357">
        <f t="shared" si="0"/>
        <v>1201666.6666666667</v>
      </c>
      <c r="AJ19" s="357">
        <f t="shared" si="1"/>
        <v>3605000</v>
      </c>
      <c r="AK19" s="357">
        <v>3605000</v>
      </c>
      <c r="AL19" s="357">
        <v>3605000</v>
      </c>
      <c r="AM19" s="329">
        <v>3605000</v>
      </c>
      <c r="AN19" s="329">
        <v>3605000</v>
      </c>
      <c r="AO19" s="329">
        <v>3605000</v>
      </c>
      <c r="AP19" s="329">
        <v>3605000</v>
      </c>
      <c r="AQ19" s="329">
        <v>3605000</v>
      </c>
      <c r="AR19" s="329">
        <v>3605000</v>
      </c>
      <c r="AS19" s="329">
        <v>3605000</v>
      </c>
      <c r="AT19" s="329">
        <f t="shared" si="2"/>
        <v>2403333.3333333335</v>
      </c>
      <c r="AU19" s="326">
        <f t="shared" si="3"/>
        <v>39655000.000000007</v>
      </c>
      <c r="AV19" s="303">
        <f t="shared" si="4"/>
        <v>0</v>
      </c>
      <c r="AX19" s="300">
        <f t="shared" si="5"/>
        <v>39655000.000000007</v>
      </c>
      <c r="AY19" s="300">
        <v>0</v>
      </c>
      <c r="AZ19" s="300">
        <v>0</v>
      </c>
      <c r="BA19" s="300">
        <v>0</v>
      </c>
      <c r="BB19" s="299">
        <f t="shared" si="6"/>
        <v>39655000.000000007</v>
      </c>
    </row>
    <row r="20" spans="1:54" hidden="1">
      <c r="A20" s="231" t="s">
        <v>347</v>
      </c>
      <c r="B20" s="232" t="s">
        <v>348</v>
      </c>
      <c r="C20" s="232" t="s">
        <v>348</v>
      </c>
      <c r="D20" s="232">
        <v>380</v>
      </c>
      <c r="E20" s="233">
        <v>380</v>
      </c>
      <c r="F20" s="234">
        <v>7673</v>
      </c>
      <c r="G20" s="231" t="s">
        <v>349</v>
      </c>
      <c r="H20" s="231" t="s">
        <v>350</v>
      </c>
      <c r="I20" s="231" t="s">
        <v>351</v>
      </c>
      <c r="J20" s="231" t="s">
        <v>352</v>
      </c>
      <c r="K20" s="231" t="s">
        <v>353</v>
      </c>
      <c r="L20" s="231" t="s">
        <v>354</v>
      </c>
      <c r="M20" s="231" t="s">
        <v>355</v>
      </c>
      <c r="N20" s="231" t="s">
        <v>356</v>
      </c>
      <c r="O20" s="231" t="s">
        <v>357</v>
      </c>
      <c r="P20" s="231" t="s">
        <v>358</v>
      </c>
      <c r="Q20" s="235">
        <v>1</v>
      </c>
      <c r="R20" s="231" t="s">
        <v>376</v>
      </c>
      <c r="S20" s="231" t="s">
        <v>377</v>
      </c>
      <c r="T20" s="232">
        <v>80111620</v>
      </c>
      <c r="U20" s="231" t="s">
        <v>378</v>
      </c>
      <c r="V20" s="232">
        <v>1</v>
      </c>
      <c r="W20" s="232">
        <v>1</v>
      </c>
      <c r="X20" s="232">
        <v>330</v>
      </c>
      <c r="Y20" s="237" t="s">
        <v>362</v>
      </c>
      <c r="Z20" s="238" t="s">
        <v>363</v>
      </c>
      <c r="AA20" s="333">
        <v>39655000</v>
      </c>
      <c r="AB20" s="239">
        <v>3605000</v>
      </c>
      <c r="AC20" s="238" t="s">
        <v>379</v>
      </c>
      <c r="AD20" s="238" t="s">
        <v>365</v>
      </c>
      <c r="AE20" s="246"/>
      <c r="AF20" s="241"/>
      <c r="AG20" s="244"/>
      <c r="AH20" s="302"/>
      <c r="AI20" s="357">
        <f t="shared" si="0"/>
        <v>1201666.6666666667</v>
      </c>
      <c r="AJ20" s="357">
        <f t="shared" si="1"/>
        <v>3605000</v>
      </c>
      <c r="AK20" s="357">
        <v>3605000</v>
      </c>
      <c r="AL20" s="357">
        <v>3605000</v>
      </c>
      <c r="AM20" s="329">
        <v>3605000</v>
      </c>
      <c r="AN20" s="329">
        <v>3605000</v>
      </c>
      <c r="AO20" s="329">
        <v>3605000</v>
      </c>
      <c r="AP20" s="329">
        <v>3605000</v>
      </c>
      <c r="AQ20" s="329">
        <v>3605000</v>
      </c>
      <c r="AR20" s="329">
        <v>3605000</v>
      </c>
      <c r="AS20" s="329">
        <v>3605000</v>
      </c>
      <c r="AT20" s="329">
        <f t="shared" si="2"/>
        <v>2403333.3333333335</v>
      </c>
      <c r="AU20" s="326">
        <f t="shared" si="3"/>
        <v>39655000.000000007</v>
      </c>
      <c r="AV20" s="303">
        <f t="shared" si="4"/>
        <v>0</v>
      </c>
      <c r="AX20" s="300">
        <f t="shared" si="5"/>
        <v>39655000.000000007</v>
      </c>
      <c r="AY20" s="300">
        <v>0</v>
      </c>
      <c r="AZ20" s="300">
        <v>0</v>
      </c>
      <c r="BA20" s="300">
        <v>0</v>
      </c>
      <c r="BB20" s="299">
        <f t="shared" si="6"/>
        <v>39655000.000000007</v>
      </c>
    </row>
    <row r="21" spans="1:54" hidden="1">
      <c r="A21" s="231" t="s">
        <v>347</v>
      </c>
      <c r="B21" s="232" t="s">
        <v>348</v>
      </c>
      <c r="C21" s="232" t="s">
        <v>348</v>
      </c>
      <c r="D21" s="232">
        <v>381</v>
      </c>
      <c r="E21" s="233">
        <v>381</v>
      </c>
      <c r="F21" s="234">
        <v>7673</v>
      </c>
      <c r="G21" s="231" t="s">
        <v>349</v>
      </c>
      <c r="H21" s="231" t="s">
        <v>350</v>
      </c>
      <c r="I21" s="231" t="s">
        <v>351</v>
      </c>
      <c r="J21" s="231" t="s">
        <v>352</v>
      </c>
      <c r="K21" s="231" t="s">
        <v>353</v>
      </c>
      <c r="L21" s="231" t="s">
        <v>354</v>
      </c>
      <c r="M21" s="231" t="s">
        <v>355</v>
      </c>
      <c r="N21" s="231" t="s">
        <v>356</v>
      </c>
      <c r="O21" s="231" t="s">
        <v>357</v>
      </c>
      <c r="P21" s="231" t="s">
        <v>358</v>
      </c>
      <c r="Q21" s="235">
        <v>1</v>
      </c>
      <c r="R21" s="231" t="s">
        <v>376</v>
      </c>
      <c r="S21" s="231" t="s">
        <v>377</v>
      </c>
      <c r="T21" s="232">
        <v>80111620</v>
      </c>
      <c r="U21" s="231" t="s">
        <v>378</v>
      </c>
      <c r="V21" s="232">
        <v>1</v>
      </c>
      <c r="W21" s="232">
        <v>1</v>
      </c>
      <c r="X21" s="232">
        <v>330</v>
      </c>
      <c r="Y21" s="237" t="s">
        <v>362</v>
      </c>
      <c r="Z21" s="238" t="s">
        <v>363</v>
      </c>
      <c r="AA21" s="333">
        <v>39655000</v>
      </c>
      <c r="AB21" s="239">
        <v>3605000</v>
      </c>
      <c r="AC21" s="238" t="s">
        <v>379</v>
      </c>
      <c r="AD21" s="238" t="s">
        <v>365</v>
      </c>
      <c r="AE21" s="240"/>
      <c r="AF21" s="241"/>
      <c r="AG21" s="242"/>
      <c r="AH21" s="301"/>
      <c r="AI21" s="357">
        <f t="shared" si="0"/>
        <v>1201666.6666666667</v>
      </c>
      <c r="AJ21" s="357">
        <f t="shared" si="1"/>
        <v>3605000</v>
      </c>
      <c r="AK21" s="357">
        <v>3605000</v>
      </c>
      <c r="AL21" s="357">
        <v>3605000</v>
      </c>
      <c r="AM21" s="329">
        <v>3605000</v>
      </c>
      <c r="AN21" s="329">
        <v>3605000</v>
      </c>
      <c r="AO21" s="329">
        <v>3605000</v>
      </c>
      <c r="AP21" s="329">
        <v>3605000</v>
      </c>
      <c r="AQ21" s="329">
        <v>3605000</v>
      </c>
      <c r="AR21" s="329">
        <v>3605000</v>
      </c>
      <c r="AS21" s="329">
        <v>3605000</v>
      </c>
      <c r="AT21" s="329">
        <f t="shared" si="2"/>
        <v>2403333.3333333335</v>
      </c>
      <c r="AU21" s="326">
        <f t="shared" si="3"/>
        <v>39655000.000000007</v>
      </c>
      <c r="AV21" s="303">
        <f t="shared" si="4"/>
        <v>0</v>
      </c>
      <c r="AX21" s="300">
        <f t="shared" si="5"/>
        <v>39655000.000000007</v>
      </c>
      <c r="AY21" s="300">
        <v>0</v>
      </c>
      <c r="AZ21" s="300">
        <v>0</v>
      </c>
      <c r="BA21" s="300">
        <v>0</v>
      </c>
      <c r="BB21" s="299">
        <f t="shared" si="6"/>
        <v>39655000.000000007</v>
      </c>
    </row>
    <row r="22" spans="1:54" hidden="1">
      <c r="A22" s="231" t="s">
        <v>347</v>
      </c>
      <c r="B22" s="232" t="s">
        <v>348</v>
      </c>
      <c r="C22" s="232" t="s">
        <v>348</v>
      </c>
      <c r="D22" s="232">
        <v>382</v>
      </c>
      <c r="E22" s="233">
        <v>382</v>
      </c>
      <c r="F22" s="234">
        <v>7673</v>
      </c>
      <c r="G22" s="231" t="s">
        <v>349</v>
      </c>
      <c r="H22" s="231" t="s">
        <v>350</v>
      </c>
      <c r="I22" s="231" t="s">
        <v>351</v>
      </c>
      <c r="J22" s="231" t="s">
        <v>352</v>
      </c>
      <c r="K22" s="231" t="s">
        <v>353</v>
      </c>
      <c r="L22" s="231" t="s">
        <v>354</v>
      </c>
      <c r="M22" s="231" t="s">
        <v>355</v>
      </c>
      <c r="N22" s="231" t="s">
        <v>356</v>
      </c>
      <c r="O22" s="231" t="s">
        <v>357</v>
      </c>
      <c r="P22" s="231" t="s">
        <v>358</v>
      </c>
      <c r="Q22" s="235">
        <v>1</v>
      </c>
      <c r="R22" s="231" t="s">
        <v>376</v>
      </c>
      <c r="S22" s="231" t="s">
        <v>377</v>
      </c>
      <c r="T22" s="232">
        <v>80111620</v>
      </c>
      <c r="U22" s="231" t="s">
        <v>378</v>
      </c>
      <c r="V22" s="232">
        <v>1</v>
      </c>
      <c r="W22" s="232">
        <v>1</v>
      </c>
      <c r="X22" s="232">
        <v>330</v>
      </c>
      <c r="Y22" s="237" t="s">
        <v>362</v>
      </c>
      <c r="Z22" s="238" t="s">
        <v>363</v>
      </c>
      <c r="AA22" s="333">
        <v>39655000</v>
      </c>
      <c r="AB22" s="239">
        <v>3605000</v>
      </c>
      <c r="AC22" s="238" t="s">
        <v>379</v>
      </c>
      <c r="AD22" s="238" t="s">
        <v>365</v>
      </c>
      <c r="AE22" s="246"/>
      <c r="AF22" s="241"/>
      <c r="AG22" s="244"/>
      <c r="AH22" s="302"/>
      <c r="AI22" s="357">
        <f t="shared" si="0"/>
        <v>1201666.6666666667</v>
      </c>
      <c r="AJ22" s="357">
        <f t="shared" si="1"/>
        <v>3605000</v>
      </c>
      <c r="AK22" s="357">
        <v>3605000</v>
      </c>
      <c r="AL22" s="357">
        <v>3605000</v>
      </c>
      <c r="AM22" s="329">
        <v>3605000</v>
      </c>
      <c r="AN22" s="329">
        <v>3605000</v>
      </c>
      <c r="AO22" s="329">
        <v>3605000</v>
      </c>
      <c r="AP22" s="329">
        <v>3605000</v>
      </c>
      <c r="AQ22" s="329">
        <v>3605000</v>
      </c>
      <c r="AR22" s="329">
        <v>3605000</v>
      </c>
      <c r="AS22" s="329">
        <v>3605000</v>
      </c>
      <c r="AT22" s="329">
        <f t="shared" si="2"/>
        <v>2403333.3333333335</v>
      </c>
      <c r="AU22" s="326">
        <f t="shared" si="3"/>
        <v>39655000.000000007</v>
      </c>
      <c r="AV22" s="303">
        <f t="shared" si="4"/>
        <v>0</v>
      </c>
      <c r="AX22" s="300">
        <f t="shared" si="5"/>
        <v>39655000.000000007</v>
      </c>
      <c r="AY22" s="300">
        <v>0</v>
      </c>
      <c r="AZ22" s="300">
        <v>0</v>
      </c>
      <c r="BA22" s="300">
        <v>0</v>
      </c>
      <c r="BB22" s="299">
        <f t="shared" si="6"/>
        <v>39655000.000000007</v>
      </c>
    </row>
    <row r="23" spans="1:54" hidden="1">
      <c r="A23" s="231" t="s">
        <v>347</v>
      </c>
      <c r="B23" s="232" t="s">
        <v>348</v>
      </c>
      <c r="C23" s="232" t="s">
        <v>348</v>
      </c>
      <c r="D23" s="232">
        <v>383</v>
      </c>
      <c r="E23" s="233">
        <v>383</v>
      </c>
      <c r="F23" s="234">
        <v>7673</v>
      </c>
      <c r="G23" s="231" t="s">
        <v>349</v>
      </c>
      <c r="H23" s="231" t="s">
        <v>350</v>
      </c>
      <c r="I23" s="231" t="s">
        <v>351</v>
      </c>
      <c r="J23" s="231" t="s">
        <v>352</v>
      </c>
      <c r="K23" s="231" t="s">
        <v>353</v>
      </c>
      <c r="L23" s="231" t="s">
        <v>354</v>
      </c>
      <c r="M23" s="231" t="s">
        <v>355</v>
      </c>
      <c r="N23" s="231" t="s">
        <v>356</v>
      </c>
      <c r="O23" s="231" t="s">
        <v>357</v>
      </c>
      <c r="P23" s="231" t="s">
        <v>358</v>
      </c>
      <c r="Q23" s="235">
        <v>1</v>
      </c>
      <c r="R23" s="231" t="s">
        <v>376</v>
      </c>
      <c r="S23" s="231" t="s">
        <v>377</v>
      </c>
      <c r="T23" s="232">
        <v>80111620</v>
      </c>
      <c r="U23" s="231" t="s">
        <v>378</v>
      </c>
      <c r="V23" s="232">
        <v>1</v>
      </c>
      <c r="W23" s="232">
        <v>1</v>
      </c>
      <c r="X23" s="232">
        <v>330</v>
      </c>
      <c r="Y23" s="237" t="s">
        <v>362</v>
      </c>
      <c r="Z23" s="238" t="s">
        <v>363</v>
      </c>
      <c r="AA23" s="333">
        <v>39655000</v>
      </c>
      <c r="AB23" s="239">
        <v>3605000</v>
      </c>
      <c r="AC23" s="238" t="s">
        <v>379</v>
      </c>
      <c r="AD23" s="238" t="s">
        <v>365</v>
      </c>
      <c r="AE23" s="246"/>
      <c r="AF23" s="241"/>
      <c r="AG23" s="244"/>
      <c r="AH23" s="302"/>
      <c r="AI23" s="357">
        <f t="shared" si="0"/>
        <v>1201666.6666666667</v>
      </c>
      <c r="AJ23" s="357">
        <f t="shared" si="1"/>
        <v>3605000</v>
      </c>
      <c r="AK23" s="357">
        <v>3605000</v>
      </c>
      <c r="AL23" s="357">
        <v>3605000</v>
      </c>
      <c r="AM23" s="329">
        <v>3605000</v>
      </c>
      <c r="AN23" s="329">
        <v>3605000</v>
      </c>
      <c r="AO23" s="329">
        <v>3605000</v>
      </c>
      <c r="AP23" s="329">
        <v>3605000</v>
      </c>
      <c r="AQ23" s="329">
        <v>3605000</v>
      </c>
      <c r="AR23" s="329">
        <v>3605000</v>
      </c>
      <c r="AS23" s="329">
        <v>3605000</v>
      </c>
      <c r="AT23" s="329">
        <f t="shared" si="2"/>
        <v>2403333.3333333335</v>
      </c>
      <c r="AU23" s="326">
        <f t="shared" si="3"/>
        <v>39655000.000000007</v>
      </c>
      <c r="AV23" s="303">
        <f t="shared" si="4"/>
        <v>0</v>
      </c>
      <c r="AX23" s="300">
        <f t="shared" si="5"/>
        <v>39655000.000000007</v>
      </c>
      <c r="AY23" s="300">
        <v>0</v>
      </c>
      <c r="AZ23" s="300">
        <v>0</v>
      </c>
      <c r="BA23" s="300">
        <v>0</v>
      </c>
      <c r="BB23" s="299">
        <f t="shared" si="6"/>
        <v>39655000.000000007</v>
      </c>
    </row>
    <row r="24" spans="1:54" hidden="1">
      <c r="A24" s="231" t="s">
        <v>347</v>
      </c>
      <c r="B24" s="232" t="s">
        <v>348</v>
      </c>
      <c r="C24" s="232" t="s">
        <v>348</v>
      </c>
      <c r="D24" s="232">
        <v>384</v>
      </c>
      <c r="E24" s="233">
        <v>384</v>
      </c>
      <c r="F24" s="234">
        <v>7673</v>
      </c>
      <c r="G24" s="231" t="s">
        <v>349</v>
      </c>
      <c r="H24" s="231" t="s">
        <v>350</v>
      </c>
      <c r="I24" s="231" t="s">
        <v>351</v>
      </c>
      <c r="J24" s="231" t="s">
        <v>352</v>
      </c>
      <c r="K24" s="231" t="s">
        <v>353</v>
      </c>
      <c r="L24" s="231" t="s">
        <v>354</v>
      </c>
      <c r="M24" s="231" t="s">
        <v>355</v>
      </c>
      <c r="N24" s="231" t="s">
        <v>356</v>
      </c>
      <c r="O24" s="231" t="s">
        <v>357</v>
      </c>
      <c r="P24" s="231" t="s">
        <v>358</v>
      </c>
      <c r="Q24" s="235">
        <v>1</v>
      </c>
      <c r="R24" s="231" t="s">
        <v>376</v>
      </c>
      <c r="S24" s="231" t="s">
        <v>377</v>
      </c>
      <c r="T24" s="232">
        <v>80111620</v>
      </c>
      <c r="U24" s="231" t="s">
        <v>378</v>
      </c>
      <c r="V24" s="232">
        <v>1</v>
      </c>
      <c r="W24" s="232">
        <v>1</v>
      </c>
      <c r="X24" s="232">
        <v>330</v>
      </c>
      <c r="Y24" s="237" t="s">
        <v>362</v>
      </c>
      <c r="Z24" s="238" t="s">
        <v>363</v>
      </c>
      <c r="AA24" s="333">
        <v>39655000</v>
      </c>
      <c r="AB24" s="239">
        <v>3605000</v>
      </c>
      <c r="AC24" s="238" t="s">
        <v>379</v>
      </c>
      <c r="AD24" s="238" t="s">
        <v>365</v>
      </c>
      <c r="AE24" s="246"/>
      <c r="AF24" s="241"/>
      <c r="AG24" s="244"/>
      <c r="AH24" s="302"/>
      <c r="AI24" s="357">
        <f t="shared" si="0"/>
        <v>1201666.6666666667</v>
      </c>
      <c r="AJ24" s="357">
        <f t="shared" si="1"/>
        <v>3605000</v>
      </c>
      <c r="AK24" s="357">
        <v>3605000</v>
      </c>
      <c r="AL24" s="357">
        <v>3605000</v>
      </c>
      <c r="AM24" s="329">
        <v>3605000</v>
      </c>
      <c r="AN24" s="329">
        <v>3605000</v>
      </c>
      <c r="AO24" s="329">
        <v>3605000</v>
      </c>
      <c r="AP24" s="329">
        <v>3605000</v>
      </c>
      <c r="AQ24" s="329">
        <v>3605000</v>
      </c>
      <c r="AR24" s="329">
        <v>3605000</v>
      </c>
      <c r="AS24" s="329">
        <v>3605000</v>
      </c>
      <c r="AT24" s="329">
        <f t="shared" si="2"/>
        <v>2403333.3333333335</v>
      </c>
      <c r="AU24" s="326">
        <f t="shared" si="3"/>
        <v>39655000.000000007</v>
      </c>
      <c r="AV24" s="303">
        <f t="shared" si="4"/>
        <v>0</v>
      </c>
      <c r="AX24" s="300">
        <f t="shared" si="5"/>
        <v>39655000.000000007</v>
      </c>
      <c r="AY24" s="300">
        <v>0</v>
      </c>
      <c r="AZ24" s="300">
        <v>0</v>
      </c>
      <c r="BA24" s="300">
        <v>0</v>
      </c>
      <c r="BB24" s="299">
        <f t="shared" si="6"/>
        <v>39655000.000000007</v>
      </c>
    </row>
    <row r="25" spans="1:54" hidden="1">
      <c r="A25" s="231" t="s">
        <v>347</v>
      </c>
      <c r="B25" s="232" t="s">
        <v>348</v>
      </c>
      <c r="C25" s="232" t="s">
        <v>348</v>
      </c>
      <c r="D25" s="232">
        <v>385</v>
      </c>
      <c r="E25" s="233">
        <v>385</v>
      </c>
      <c r="F25" s="234">
        <v>7673</v>
      </c>
      <c r="G25" s="231" t="s">
        <v>349</v>
      </c>
      <c r="H25" s="231" t="s">
        <v>350</v>
      </c>
      <c r="I25" s="231" t="s">
        <v>351</v>
      </c>
      <c r="J25" s="231" t="s">
        <v>352</v>
      </c>
      <c r="K25" s="231" t="s">
        <v>353</v>
      </c>
      <c r="L25" s="231" t="s">
        <v>354</v>
      </c>
      <c r="M25" s="231" t="s">
        <v>355</v>
      </c>
      <c r="N25" s="231" t="s">
        <v>356</v>
      </c>
      <c r="O25" s="231" t="s">
        <v>357</v>
      </c>
      <c r="P25" s="231" t="s">
        <v>358</v>
      </c>
      <c r="Q25" s="235">
        <v>1</v>
      </c>
      <c r="R25" s="231" t="s">
        <v>376</v>
      </c>
      <c r="S25" s="231" t="s">
        <v>377</v>
      </c>
      <c r="T25" s="232">
        <v>80111620</v>
      </c>
      <c r="U25" s="231" t="s">
        <v>378</v>
      </c>
      <c r="V25" s="232">
        <v>1</v>
      </c>
      <c r="W25" s="232">
        <v>1</v>
      </c>
      <c r="X25" s="232">
        <v>330</v>
      </c>
      <c r="Y25" s="237" t="s">
        <v>362</v>
      </c>
      <c r="Z25" s="238" t="s">
        <v>363</v>
      </c>
      <c r="AA25" s="333">
        <v>39655000</v>
      </c>
      <c r="AB25" s="239">
        <v>3605000</v>
      </c>
      <c r="AC25" s="238" t="s">
        <v>379</v>
      </c>
      <c r="AD25" s="238" t="s">
        <v>365</v>
      </c>
      <c r="AE25" s="246"/>
      <c r="AF25" s="241"/>
      <c r="AG25" s="244"/>
      <c r="AH25" s="302"/>
      <c r="AI25" s="357">
        <f t="shared" si="0"/>
        <v>1201666.6666666667</v>
      </c>
      <c r="AJ25" s="357">
        <f t="shared" si="1"/>
        <v>3605000</v>
      </c>
      <c r="AK25" s="357">
        <v>3605000</v>
      </c>
      <c r="AL25" s="357">
        <v>3605000</v>
      </c>
      <c r="AM25" s="329">
        <v>3605000</v>
      </c>
      <c r="AN25" s="329">
        <v>3605000</v>
      </c>
      <c r="AO25" s="329">
        <v>3605000</v>
      </c>
      <c r="AP25" s="329">
        <v>3605000</v>
      </c>
      <c r="AQ25" s="329">
        <v>3605000</v>
      </c>
      <c r="AR25" s="329">
        <v>3605000</v>
      </c>
      <c r="AS25" s="329">
        <v>3605000</v>
      </c>
      <c r="AT25" s="329">
        <f t="shared" si="2"/>
        <v>2403333.3333333335</v>
      </c>
      <c r="AU25" s="326">
        <f t="shared" si="3"/>
        <v>39655000.000000007</v>
      </c>
      <c r="AV25" s="303">
        <f t="shared" si="4"/>
        <v>0</v>
      </c>
      <c r="AX25" s="300">
        <f t="shared" si="5"/>
        <v>39655000.000000007</v>
      </c>
      <c r="AY25" s="300">
        <v>0</v>
      </c>
      <c r="AZ25" s="300">
        <v>0</v>
      </c>
      <c r="BA25" s="300">
        <v>0</v>
      </c>
      <c r="BB25" s="299">
        <f t="shared" si="6"/>
        <v>39655000.000000007</v>
      </c>
    </row>
    <row r="26" spans="1:54" hidden="1">
      <c r="A26" s="231" t="s">
        <v>347</v>
      </c>
      <c r="B26" s="232" t="s">
        <v>348</v>
      </c>
      <c r="C26" s="232" t="s">
        <v>348</v>
      </c>
      <c r="D26" s="232">
        <v>386</v>
      </c>
      <c r="E26" s="233">
        <v>386</v>
      </c>
      <c r="F26" s="234">
        <v>7673</v>
      </c>
      <c r="G26" s="231" t="s">
        <v>349</v>
      </c>
      <c r="H26" s="231" t="s">
        <v>350</v>
      </c>
      <c r="I26" s="231" t="s">
        <v>351</v>
      </c>
      <c r="J26" s="231" t="s">
        <v>352</v>
      </c>
      <c r="K26" s="231" t="s">
        <v>353</v>
      </c>
      <c r="L26" s="231" t="s">
        <v>354</v>
      </c>
      <c r="M26" s="231" t="s">
        <v>355</v>
      </c>
      <c r="N26" s="231" t="s">
        <v>356</v>
      </c>
      <c r="O26" s="231" t="s">
        <v>357</v>
      </c>
      <c r="P26" s="231" t="s">
        <v>358</v>
      </c>
      <c r="Q26" s="235">
        <v>1</v>
      </c>
      <c r="R26" s="231" t="s">
        <v>376</v>
      </c>
      <c r="S26" s="231" t="s">
        <v>377</v>
      </c>
      <c r="T26" s="232">
        <v>80111620</v>
      </c>
      <c r="U26" s="231" t="s">
        <v>378</v>
      </c>
      <c r="V26" s="232">
        <v>1</v>
      </c>
      <c r="W26" s="232">
        <v>1</v>
      </c>
      <c r="X26" s="232">
        <v>330</v>
      </c>
      <c r="Y26" s="237" t="s">
        <v>362</v>
      </c>
      <c r="Z26" s="238" t="s">
        <v>363</v>
      </c>
      <c r="AA26" s="333">
        <v>39655000</v>
      </c>
      <c r="AB26" s="239">
        <v>3605000</v>
      </c>
      <c r="AC26" s="238" t="s">
        <v>379</v>
      </c>
      <c r="AD26" s="238" t="s">
        <v>365</v>
      </c>
      <c r="AE26" s="246"/>
      <c r="AF26" s="241"/>
      <c r="AG26" s="244"/>
      <c r="AH26" s="302"/>
      <c r="AI26" s="357">
        <f t="shared" si="0"/>
        <v>1201666.6666666667</v>
      </c>
      <c r="AJ26" s="357">
        <f t="shared" si="1"/>
        <v>3605000</v>
      </c>
      <c r="AK26" s="357">
        <v>3605000</v>
      </c>
      <c r="AL26" s="357">
        <v>3605000</v>
      </c>
      <c r="AM26" s="329">
        <v>3605000</v>
      </c>
      <c r="AN26" s="329">
        <v>3605000</v>
      </c>
      <c r="AO26" s="329">
        <v>3605000</v>
      </c>
      <c r="AP26" s="329">
        <v>3605000</v>
      </c>
      <c r="AQ26" s="329">
        <v>3605000</v>
      </c>
      <c r="AR26" s="329">
        <v>3605000</v>
      </c>
      <c r="AS26" s="329">
        <v>3605000</v>
      </c>
      <c r="AT26" s="329">
        <f t="shared" si="2"/>
        <v>2403333.3333333335</v>
      </c>
      <c r="AU26" s="326">
        <f t="shared" si="3"/>
        <v>39655000.000000007</v>
      </c>
      <c r="AV26" s="303">
        <f t="shared" si="4"/>
        <v>0</v>
      </c>
      <c r="AX26" s="300">
        <f t="shared" si="5"/>
        <v>39655000.000000007</v>
      </c>
      <c r="AY26" s="300">
        <v>0</v>
      </c>
      <c r="AZ26" s="300">
        <v>0</v>
      </c>
      <c r="BA26" s="300">
        <v>0</v>
      </c>
      <c r="BB26" s="299">
        <f t="shared" si="6"/>
        <v>39655000.000000007</v>
      </c>
    </row>
    <row r="27" spans="1:54" hidden="1">
      <c r="A27" s="231" t="s">
        <v>347</v>
      </c>
      <c r="B27" s="232" t="s">
        <v>348</v>
      </c>
      <c r="C27" s="232" t="s">
        <v>348</v>
      </c>
      <c r="D27" s="232">
        <v>387</v>
      </c>
      <c r="E27" s="233">
        <v>387</v>
      </c>
      <c r="F27" s="234">
        <v>7673</v>
      </c>
      <c r="G27" s="231" t="s">
        <v>349</v>
      </c>
      <c r="H27" s="231" t="s">
        <v>350</v>
      </c>
      <c r="I27" s="231" t="s">
        <v>351</v>
      </c>
      <c r="J27" s="231" t="s">
        <v>352</v>
      </c>
      <c r="K27" s="231" t="s">
        <v>353</v>
      </c>
      <c r="L27" s="231" t="s">
        <v>354</v>
      </c>
      <c r="M27" s="231" t="s">
        <v>355</v>
      </c>
      <c r="N27" s="231" t="s">
        <v>356</v>
      </c>
      <c r="O27" s="231" t="s">
        <v>357</v>
      </c>
      <c r="P27" s="231" t="s">
        <v>358</v>
      </c>
      <c r="Q27" s="235">
        <v>1</v>
      </c>
      <c r="R27" s="231" t="s">
        <v>376</v>
      </c>
      <c r="S27" s="231" t="s">
        <v>377</v>
      </c>
      <c r="T27" s="232">
        <v>80111620</v>
      </c>
      <c r="U27" s="231" t="s">
        <v>378</v>
      </c>
      <c r="V27" s="232">
        <v>1</v>
      </c>
      <c r="W27" s="232">
        <v>1</v>
      </c>
      <c r="X27" s="232">
        <v>330</v>
      </c>
      <c r="Y27" s="237" t="s">
        <v>362</v>
      </c>
      <c r="Z27" s="238" t="s">
        <v>363</v>
      </c>
      <c r="AA27" s="333">
        <v>39655000</v>
      </c>
      <c r="AB27" s="239">
        <v>3605000</v>
      </c>
      <c r="AC27" s="238" t="s">
        <v>379</v>
      </c>
      <c r="AD27" s="238" t="s">
        <v>365</v>
      </c>
      <c r="AE27" s="247"/>
      <c r="AF27" s="241"/>
      <c r="AG27" s="242"/>
      <c r="AH27" s="301"/>
      <c r="AI27" s="357">
        <f t="shared" si="0"/>
        <v>1201666.6666666667</v>
      </c>
      <c r="AJ27" s="357">
        <f t="shared" si="1"/>
        <v>3605000</v>
      </c>
      <c r="AK27" s="357">
        <v>3605000</v>
      </c>
      <c r="AL27" s="357">
        <v>3605000</v>
      </c>
      <c r="AM27" s="329">
        <v>3605000</v>
      </c>
      <c r="AN27" s="329">
        <v>3605000</v>
      </c>
      <c r="AO27" s="329">
        <v>3605000</v>
      </c>
      <c r="AP27" s="329">
        <v>3605000</v>
      </c>
      <c r="AQ27" s="329">
        <v>3605000</v>
      </c>
      <c r="AR27" s="329">
        <v>3605000</v>
      </c>
      <c r="AS27" s="329">
        <v>3605000</v>
      </c>
      <c r="AT27" s="329">
        <f t="shared" si="2"/>
        <v>2403333.3333333335</v>
      </c>
      <c r="AU27" s="326">
        <f t="shared" si="3"/>
        <v>39655000.000000007</v>
      </c>
      <c r="AV27" s="303">
        <f t="shared" si="4"/>
        <v>0</v>
      </c>
      <c r="AX27" s="300">
        <f t="shared" si="5"/>
        <v>39655000.000000007</v>
      </c>
      <c r="AY27" s="300">
        <v>0</v>
      </c>
      <c r="AZ27" s="300">
        <v>0</v>
      </c>
      <c r="BA27" s="300">
        <v>0</v>
      </c>
      <c r="BB27" s="299">
        <f t="shared" si="6"/>
        <v>39655000.000000007</v>
      </c>
    </row>
    <row r="28" spans="1:54" hidden="1">
      <c r="A28" s="231" t="s">
        <v>347</v>
      </c>
      <c r="B28" s="232" t="s">
        <v>348</v>
      </c>
      <c r="C28" s="232" t="s">
        <v>348</v>
      </c>
      <c r="D28" s="232">
        <v>388</v>
      </c>
      <c r="E28" s="233">
        <v>388</v>
      </c>
      <c r="F28" s="234">
        <v>7673</v>
      </c>
      <c r="G28" s="231" t="s">
        <v>349</v>
      </c>
      <c r="H28" s="231" t="s">
        <v>350</v>
      </c>
      <c r="I28" s="231" t="s">
        <v>351</v>
      </c>
      <c r="J28" s="231" t="s">
        <v>352</v>
      </c>
      <c r="K28" s="231" t="s">
        <v>353</v>
      </c>
      <c r="L28" s="231" t="s">
        <v>354</v>
      </c>
      <c r="M28" s="231" t="s">
        <v>355</v>
      </c>
      <c r="N28" s="231" t="s">
        <v>356</v>
      </c>
      <c r="O28" s="231" t="s">
        <v>357</v>
      </c>
      <c r="P28" s="231" t="s">
        <v>358</v>
      </c>
      <c r="Q28" s="235">
        <v>1</v>
      </c>
      <c r="R28" s="231" t="s">
        <v>376</v>
      </c>
      <c r="S28" s="231" t="s">
        <v>377</v>
      </c>
      <c r="T28" s="232">
        <v>80111620</v>
      </c>
      <c r="U28" s="231" t="s">
        <v>380</v>
      </c>
      <c r="V28" s="232">
        <v>1</v>
      </c>
      <c r="W28" s="232">
        <v>1</v>
      </c>
      <c r="X28" s="232">
        <v>330</v>
      </c>
      <c r="Y28" s="237" t="s">
        <v>362</v>
      </c>
      <c r="Z28" s="238" t="s">
        <v>363</v>
      </c>
      <c r="AA28" s="333">
        <v>39655000</v>
      </c>
      <c r="AB28" s="239">
        <v>3605000</v>
      </c>
      <c r="AC28" s="238" t="s">
        <v>381</v>
      </c>
      <c r="AD28" s="238" t="s">
        <v>365</v>
      </c>
      <c r="AE28" s="240"/>
      <c r="AF28" s="241"/>
      <c r="AG28" s="242"/>
      <c r="AH28" s="301"/>
      <c r="AI28" s="357">
        <f t="shared" si="0"/>
        <v>1201666.6666666667</v>
      </c>
      <c r="AJ28" s="357">
        <f t="shared" si="1"/>
        <v>3605000</v>
      </c>
      <c r="AK28" s="357">
        <v>3605000</v>
      </c>
      <c r="AL28" s="357">
        <v>3605000</v>
      </c>
      <c r="AM28" s="329">
        <v>3605000</v>
      </c>
      <c r="AN28" s="329">
        <v>3605000</v>
      </c>
      <c r="AO28" s="329">
        <v>3605000</v>
      </c>
      <c r="AP28" s="329">
        <v>3605000</v>
      </c>
      <c r="AQ28" s="329">
        <v>3605000</v>
      </c>
      <c r="AR28" s="329">
        <v>3605000</v>
      </c>
      <c r="AS28" s="329">
        <v>3605000</v>
      </c>
      <c r="AT28" s="329">
        <f t="shared" si="2"/>
        <v>2403333.3333333335</v>
      </c>
      <c r="AU28" s="326">
        <f t="shared" si="3"/>
        <v>39655000.000000007</v>
      </c>
      <c r="AV28" s="303">
        <f t="shared" si="4"/>
        <v>0</v>
      </c>
      <c r="AX28" s="300">
        <f t="shared" si="5"/>
        <v>39655000.000000007</v>
      </c>
      <c r="AY28" s="300">
        <v>0</v>
      </c>
      <c r="AZ28" s="300">
        <v>0</v>
      </c>
      <c r="BA28" s="300">
        <v>0</v>
      </c>
      <c r="BB28" s="299">
        <f t="shared" si="6"/>
        <v>39655000.000000007</v>
      </c>
    </row>
    <row r="29" spans="1:54" hidden="1">
      <c r="A29" s="231" t="s">
        <v>347</v>
      </c>
      <c r="B29" s="232" t="s">
        <v>348</v>
      </c>
      <c r="C29" s="232" t="s">
        <v>348</v>
      </c>
      <c r="D29" s="232">
        <v>389</v>
      </c>
      <c r="E29" s="233">
        <v>389</v>
      </c>
      <c r="F29" s="234">
        <v>7673</v>
      </c>
      <c r="G29" s="231" t="s">
        <v>349</v>
      </c>
      <c r="H29" s="231" t="s">
        <v>350</v>
      </c>
      <c r="I29" s="231" t="s">
        <v>351</v>
      </c>
      <c r="J29" s="231" t="s">
        <v>352</v>
      </c>
      <c r="K29" s="231" t="s">
        <v>353</v>
      </c>
      <c r="L29" s="231" t="s">
        <v>354</v>
      </c>
      <c r="M29" s="231" t="s">
        <v>355</v>
      </c>
      <c r="N29" s="231" t="s">
        <v>356</v>
      </c>
      <c r="O29" s="231" t="s">
        <v>357</v>
      </c>
      <c r="P29" s="231" t="s">
        <v>358</v>
      </c>
      <c r="Q29" s="235">
        <v>1</v>
      </c>
      <c r="R29" s="231" t="s">
        <v>376</v>
      </c>
      <c r="S29" s="231" t="s">
        <v>377</v>
      </c>
      <c r="T29" s="232">
        <v>80111620</v>
      </c>
      <c r="U29" s="231" t="s">
        <v>380</v>
      </c>
      <c r="V29" s="232">
        <v>1</v>
      </c>
      <c r="W29" s="232">
        <v>1</v>
      </c>
      <c r="X29" s="232">
        <v>330</v>
      </c>
      <c r="Y29" s="237" t="s">
        <v>362</v>
      </c>
      <c r="Z29" s="238" t="s">
        <v>363</v>
      </c>
      <c r="AA29" s="333">
        <v>39655000</v>
      </c>
      <c r="AB29" s="239">
        <v>3605000</v>
      </c>
      <c r="AC29" s="238" t="s">
        <v>381</v>
      </c>
      <c r="AD29" s="238" t="s">
        <v>365</v>
      </c>
      <c r="AE29" s="240"/>
      <c r="AF29" s="241"/>
      <c r="AG29" s="242"/>
      <c r="AH29" s="301"/>
      <c r="AI29" s="357">
        <f t="shared" si="0"/>
        <v>1201666.6666666667</v>
      </c>
      <c r="AJ29" s="357">
        <f t="shared" si="1"/>
        <v>3605000</v>
      </c>
      <c r="AK29" s="357">
        <v>3605000</v>
      </c>
      <c r="AL29" s="357">
        <v>3605000</v>
      </c>
      <c r="AM29" s="329">
        <v>3605000</v>
      </c>
      <c r="AN29" s="329">
        <v>3605000</v>
      </c>
      <c r="AO29" s="329">
        <v>3605000</v>
      </c>
      <c r="AP29" s="329">
        <v>3605000</v>
      </c>
      <c r="AQ29" s="329">
        <v>3605000</v>
      </c>
      <c r="AR29" s="329">
        <v>3605000</v>
      </c>
      <c r="AS29" s="329">
        <v>3605000</v>
      </c>
      <c r="AT29" s="329">
        <f t="shared" si="2"/>
        <v>2403333.3333333335</v>
      </c>
      <c r="AU29" s="326">
        <f t="shared" si="3"/>
        <v>39655000.000000007</v>
      </c>
      <c r="AV29" s="303">
        <f t="shared" si="4"/>
        <v>0</v>
      </c>
      <c r="AX29" s="300">
        <f t="shared" si="5"/>
        <v>39655000.000000007</v>
      </c>
      <c r="AY29" s="300">
        <v>0</v>
      </c>
      <c r="AZ29" s="300">
        <v>0</v>
      </c>
      <c r="BA29" s="300">
        <v>0</v>
      </c>
      <c r="BB29" s="299">
        <f t="shared" si="6"/>
        <v>39655000.000000007</v>
      </c>
    </row>
    <row r="30" spans="1:54" hidden="1">
      <c r="A30" s="231" t="s">
        <v>347</v>
      </c>
      <c r="B30" s="232" t="s">
        <v>348</v>
      </c>
      <c r="C30" s="232" t="s">
        <v>348</v>
      </c>
      <c r="D30" s="232">
        <v>390</v>
      </c>
      <c r="E30" s="233">
        <v>390</v>
      </c>
      <c r="F30" s="234">
        <v>7673</v>
      </c>
      <c r="G30" s="231" t="s">
        <v>349</v>
      </c>
      <c r="H30" s="231" t="s">
        <v>350</v>
      </c>
      <c r="I30" s="231" t="s">
        <v>351</v>
      </c>
      <c r="J30" s="231" t="s">
        <v>352</v>
      </c>
      <c r="K30" s="231" t="s">
        <v>353</v>
      </c>
      <c r="L30" s="231" t="s">
        <v>354</v>
      </c>
      <c r="M30" s="231" t="s">
        <v>355</v>
      </c>
      <c r="N30" s="231" t="s">
        <v>356</v>
      </c>
      <c r="O30" s="231" t="s">
        <v>357</v>
      </c>
      <c r="P30" s="231" t="s">
        <v>358</v>
      </c>
      <c r="Q30" s="235">
        <v>1</v>
      </c>
      <c r="R30" s="231" t="s">
        <v>376</v>
      </c>
      <c r="S30" s="231" t="s">
        <v>377</v>
      </c>
      <c r="T30" s="232">
        <v>80111620</v>
      </c>
      <c r="U30" s="231" t="s">
        <v>380</v>
      </c>
      <c r="V30" s="232">
        <v>1</v>
      </c>
      <c r="W30" s="232">
        <v>1</v>
      </c>
      <c r="X30" s="232">
        <v>330</v>
      </c>
      <c r="Y30" s="237" t="s">
        <v>362</v>
      </c>
      <c r="Z30" s="238" t="s">
        <v>363</v>
      </c>
      <c r="AA30" s="333">
        <v>39655000</v>
      </c>
      <c r="AB30" s="239">
        <v>3605000</v>
      </c>
      <c r="AC30" s="238" t="s">
        <v>381</v>
      </c>
      <c r="AD30" s="238" t="s">
        <v>365</v>
      </c>
      <c r="AE30" s="246"/>
      <c r="AF30" s="241"/>
      <c r="AG30" s="244"/>
      <c r="AH30" s="302"/>
      <c r="AI30" s="357">
        <f t="shared" si="0"/>
        <v>1201666.6666666667</v>
      </c>
      <c r="AJ30" s="357">
        <f t="shared" si="1"/>
        <v>3605000</v>
      </c>
      <c r="AK30" s="357">
        <v>3605000</v>
      </c>
      <c r="AL30" s="357">
        <v>3605000</v>
      </c>
      <c r="AM30" s="329">
        <v>3605000</v>
      </c>
      <c r="AN30" s="329">
        <v>3605000</v>
      </c>
      <c r="AO30" s="329">
        <v>3605000</v>
      </c>
      <c r="AP30" s="329">
        <v>3605000</v>
      </c>
      <c r="AQ30" s="329">
        <v>3605000</v>
      </c>
      <c r="AR30" s="329">
        <v>3605000</v>
      </c>
      <c r="AS30" s="329">
        <v>3605000</v>
      </c>
      <c r="AT30" s="329">
        <f t="shared" si="2"/>
        <v>2403333.3333333335</v>
      </c>
      <c r="AU30" s="326">
        <f t="shared" si="3"/>
        <v>39655000.000000007</v>
      </c>
      <c r="AV30" s="303">
        <f t="shared" si="4"/>
        <v>0</v>
      </c>
      <c r="AX30" s="300">
        <f t="shared" si="5"/>
        <v>39655000.000000007</v>
      </c>
      <c r="AY30" s="300">
        <v>0</v>
      </c>
      <c r="AZ30" s="300">
        <v>0</v>
      </c>
      <c r="BA30" s="300">
        <v>0</v>
      </c>
      <c r="BB30" s="299">
        <f t="shared" si="6"/>
        <v>39655000.000000007</v>
      </c>
    </row>
    <row r="31" spans="1:54" hidden="1">
      <c r="A31" s="231" t="s">
        <v>347</v>
      </c>
      <c r="B31" s="232" t="s">
        <v>348</v>
      </c>
      <c r="C31" s="232" t="s">
        <v>348</v>
      </c>
      <c r="D31" s="232">
        <v>391</v>
      </c>
      <c r="E31" s="233">
        <v>391</v>
      </c>
      <c r="F31" s="234">
        <v>7673</v>
      </c>
      <c r="G31" s="231" t="s">
        <v>349</v>
      </c>
      <c r="H31" s="231" t="s">
        <v>350</v>
      </c>
      <c r="I31" s="231" t="s">
        <v>351</v>
      </c>
      <c r="J31" s="231" t="s">
        <v>352</v>
      </c>
      <c r="K31" s="231" t="s">
        <v>353</v>
      </c>
      <c r="L31" s="231" t="s">
        <v>354</v>
      </c>
      <c r="M31" s="231" t="s">
        <v>355</v>
      </c>
      <c r="N31" s="231" t="s">
        <v>356</v>
      </c>
      <c r="O31" s="231" t="s">
        <v>357</v>
      </c>
      <c r="P31" s="231" t="s">
        <v>358</v>
      </c>
      <c r="Q31" s="235">
        <v>1</v>
      </c>
      <c r="R31" s="231" t="s">
        <v>376</v>
      </c>
      <c r="S31" s="231" t="s">
        <v>377</v>
      </c>
      <c r="T31" s="232">
        <v>80111620</v>
      </c>
      <c r="U31" s="231" t="s">
        <v>380</v>
      </c>
      <c r="V31" s="232">
        <v>1</v>
      </c>
      <c r="W31" s="232">
        <v>1</v>
      </c>
      <c r="X31" s="232">
        <v>330</v>
      </c>
      <c r="Y31" s="237" t="s">
        <v>362</v>
      </c>
      <c r="Z31" s="238" t="s">
        <v>363</v>
      </c>
      <c r="AA31" s="333">
        <v>39655000</v>
      </c>
      <c r="AB31" s="239">
        <v>3605000</v>
      </c>
      <c r="AC31" s="238" t="s">
        <v>381</v>
      </c>
      <c r="AD31" s="238" t="s">
        <v>365</v>
      </c>
      <c r="AE31" s="246"/>
      <c r="AF31" s="241"/>
      <c r="AG31" s="244"/>
      <c r="AH31" s="302"/>
      <c r="AI31" s="357">
        <f t="shared" si="0"/>
        <v>1201666.6666666667</v>
      </c>
      <c r="AJ31" s="357">
        <f t="shared" si="1"/>
        <v>3605000</v>
      </c>
      <c r="AK31" s="357">
        <v>3605000</v>
      </c>
      <c r="AL31" s="357">
        <v>3605000</v>
      </c>
      <c r="AM31" s="329">
        <v>3605000</v>
      </c>
      <c r="AN31" s="329">
        <v>3605000</v>
      </c>
      <c r="AO31" s="329">
        <v>3605000</v>
      </c>
      <c r="AP31" s="329">
        <v>3605000</v>
      </c>
      <c r="AQ31" s="329">
        <v>3605000</v>
      </c>
      <c r="AR31" s="329">
        <v>3605000</v>
      </c>
      <c r="AS31" s="329">
        <v>3605000</v>
      </c>
      <c r="AT31" s="329">
        <f t="shared" si="2"/>
        <v>2403333.3333333335</v>
      </c>
      <c r="AU31" s="326">
        <f t="shared" si="3"/>
        <v>39655000.000000007</v>
      </c>
      <c r="AV31" s="303">
        <f t="shared" si="4"/>
        <v>0</v>
      </c>
      <c r="AX31" s="300">
        <f t="shared" si="5"/>
        <v>39655000.000000007</v>
      </c>
      <c r="AY31" s="300">
        <v>0</v>
      </c>
      <c r="AZ31" s="300">
        <v>0</v>
      </c>
      <c r="BA31" s="300">
        <v>0</v>
      </c>
      <c r="BB31" s="299">
        <f t="shared" si="6"/>
        <v>39655000.000000007</v>
      </c>
    </row>
    <row r="32" spans="1:54" hidden="1">
      <c r="A32" s="231" t="s">
        <v>347</v>
      </c>
      <c r="B32" s="232" t="s">
        <v>348</v>
      </c>
      <c r="C32" s="232" t="s">
        <v>348</v>
      </c>
      <c r="D32" s="232">
        <v>392</v>
      </c>
      <c r="E32" s="233">
        <v>392</v>
      </c>
      <c r="F32" s="234">
        <v>7673</v>
      </c>
      <c r="G32" s="231" t="s">
        <v>349</v>
      </c>
      <c r="H32" s="231" t="s">
        <v>350</v>
      </c>
      <c r="I32" s="231" t="s">
        <v>351</v>
      </c>
      <c r="J32" s="231" t="s">
        <v>352</v>
      </c>
      <c r="K32" s="231" t="s">
        <v>353</v>
      </c>
      <c r="L32" s="231" t="s">
        <v>354</v>
      </c>
      <c r="M32" s="231" t="s">
        <v>355</v>
      </c>
      <c r="N32" s="231" t="s">
        <v>356</v>
      </c>
      <c r="O32" s="231" t="s">
        <v>382</v>
      </c>
      <c r="P32" s="231" t="s">
        <v>383</v>
      </c>
      <c r="Q32" s="235">
        <v>1</v>
      </c>
      <c r="R32" s="231" t="s">
        <v>359</v>
      </c>
      <c r="S32" s="231" t="s">
        <v>360</v>
      </c>
      <c r="T32" s="232">
        <v>80111620</v>
      </c>
      <c r="U32" s="231" t="s">
        <v>384</v>
      </c>
      <c r="V32" s="232">
        <v>1</v>
      </c>
      <c r="W32" s="232">
        <v>1</v>
      </c>
      <c r="X32" s="232">
        <v>330</v>
      </c>
      <c r="Y32" s="237" t="s">
        <v>362</v>
      </c>
      <c r="Z32" s="238" t="s">
        <v>363</v>
      </c>
      <c r="AA32" s="333">
        <v>92818000</v>
      </c>
      <c r="AB32" s="239">
        <v>8438000</v>
      </c>
      <c r="AC32" s="238" t="s">
        <v>385</v>
      </c>
      <c r="AD32" s="238" t="s">
        <v>386</v>
      </c>
      <c r="AE32" s="248"/>
      <c r="AF32" s="241"/>
      <c r="AG32" s="244"/>
      <c r="AH32" s="244"/>
      <c r="AI32" s="357">
        <f t="shared" si="0"/>
        <v>2812666.666666667</v>
      </c>
      <c r="AJ32" s="357">
        <f t="shared" si="1"/>
        <v>8438000</v>
      </c>
      <c r="AK32" s="357">
        <v>8438000</v>
      </c>
      <c r="AL32" s="357">
        <v>8438000</v>
      </c>
      <c r="AM32" s="329">
        <v>8438000</v>
      </c>
      <c r="AN32" s="329">
        <v>8438000</v>
      </c>
      <c r="AO32" s="329">
        <v>8438000</v>
      </c>
      <c r="AP32" s="329">
        <v>8438000</v>
      </c>
      <c r="AQ32" s="329">
        <v>8438000</v>
      </c>
      <c r="AR32" s="329">
        <v>8438000</v>
      </c>
      <c r="AS32" s="329">
        <v>8438000</v>
      </c>
      <c r="AT32" s="329">
        <f t="shared" si="2"/>
        <v>5625333.333333334</v>
      </c>
      <c r="AU32" s="326">
        <f t="shared" si="3"/>
        <v>92818000</v>
      </c>
      <c r="AV32" s="303">
        <f t="shared" si="4"/>
        <v>0</v>
      </c>
      <c r="AX32" s="300">
        <v>0</v>
      </c>
      <c r="AY32" s="300">
        <v>0</v>
      </c>
      <c r="AZ32" s="300">
        <f>+AU32</f>
        <v>92818000</v>
      </c>
      <c r="BA32" s="300">
        <v>0</v>
      </c>
      <c r="BB32" s="299">
        <f t="shared" si="6"/>
        <v>92818000</v>
      </c>
    </row>
    <row r="33" spans="1:54" hidden="1">
      <c r="A33" s="231" t="s">
        <v>347</v>
      </c>
      <c r="B33" s="232" t="s">
        <v>348</v>
      </c>
      <c r="C33" s="232" t="s">
        <v>348</v>
      </c>
      <c r="D33" s="232">
        <v>393</v>
      </c>
      <c r="E33" s="233">
        <v>393</v>
      </c>
      <c r="F33" s="234">
        <v>7673</v>
      </c>
      <c r="G33" s="231" t="s">
        <v>349</v>
      </c>
      <c r="H33" s="231" t="s">
        <v>350</v>
      </c>
      <c r="I33" s="231" t="s">
        <v>351</v>
      </c>
      <c r="J33" s="231" t="s">
        <v>352</v>
      </c>
      <c r="K33" s="231" t="s">
        <v>353</v>
      </c>
      <c r="L33" s="231" t="s">
        <v>354</v>
      </c>
      <c r="M33" s="231" t="s">
        <v>355</v>
      </c>
      <c r="N33" s="231" t="s">
        <v>356</v>
      </c>
      <c r="O33" s="231" t="s">
        <v>382</v>
      </c>
      <c r="P33" s="231" t="s">
        <v>383</v>
      </c>
      <c r="Q33" s="235">
        <v>1</v>
      </c>
      <c r="R33" s="231" t="s">
        <v>359</v>
      </c>
      <c r="S33" s="231" t="s">
        <v>360</v>
      </c>
      <c r="T33" s="232">
        <v>80111620</v>
      </c>
      <c r="U33" s="231" t="s">
        <v>387</v>
      </c>
      <c r="V33" s="232">
        <v>1</v>
      </c>
      <c r="W33" s="232">
        <v>1</v>
      </c>
      <c r="X33" s="232">
        <v>330</v>
      </c>
      <c r="Y33" s="237" t="s">
        <v>362</v>
      </c>
      <c r="Z33" s="238" t="s">
        <v>363</v>
      </c>
      <c r="AA33" s="333">
        <v>63811000</v>
      </c>
      <c r="AB33" s="239">
        <v>5801000</v>
      </c>
      <c r="AC33" s="238" t="s">
        <v>388</v>
      </c>
      <c r="AD33" s="238" t="s">
        <v>386</v>
      </c>
      <c r="AE33" s="248"/>
      <c r="AF33" s="241"/>
      <c r="AG33" s="247"/>
      <c r="AH33" s="247"/>
      <c r="AI33" s="357">
        <f t="shared" si="0"/>
        <v>1933666.6666666665</v>
      </c>
      <c r="AJ33" s="357">
        <f t="shared" si="1"/>
        <v>5801000</v>
      </c>
      <c r="AK33" s="357">
        <v>5801000</v>
      </c>
      <c r="AL33" s="357">
        <v>5801000</v>
      </c>
      <c r="AM33" s="329">
        <v>5801000</v>
      </c>
      <c r="AN33" s="329">
        <v>5801000</v>
      </c>
      <c r="AO33" s="329">
        <v>5801000</v>
      </c>
      <c r="AP33" s="329">
        <v>5801000</v>
      </c>
      <c r="AQ33" s="329">
        <v>5801000</v>
      </c>
      <c r="AR33" s="329">
        <v>5801000</v>
      </c>
      <c r="AS33" s="329">
        <v>5801000</v>
      </c>
      <c r="AT33" s="329">
        <f t="shared" si="2"/>
        <v>3867333.333333333</v>
      </c>
      <c r="AU33" s="326">
        <f t="shared" si="3"/>
        <v>63811000</v>
      </c>
      <c r="AV33" s="303">
        <f t="shared" si="4"/>
        <v>0</v>
      </c>
      <c r="AX33" s="300">
        <v>0</v>
      </c>
      <c r="AY33" s="300">
        <v>0</v>
      </c>
      <c r="AZ33" s="300">
        <f t="shared" ref="AZ33:AZ52" si="7">+AU33</f>
        <v>63811000</v>
      </c>
      <c r="BA33" s="300">
        <v>0</v>
      </c>
      <c r="BB33" s="299">
        <f t="shared" si="6"/>
        <v>63811000</v>
      </c>
    </row>
    <row r="34" spans="1:54" hidden="1">
      <c r="A34" s="231" t="s">
        <v>347</v>
      </c>
      <c r="B34" s="232" t="s">
        <v>348</v>
      </c>
      <c r="C34" s="232" t="s">
        <v>348</v>
      </c>
      <c r="D34" s="232">
        <v>394</v>
      </c>
      <c r="E34" s="233">
        <v>394</v>
      </c>
      <c r="F34" s="234">
        <v>7673</v>
      </c>
      <c r="G34" s="231" t="s">
        <v>349</v>
      </c>
      <c r="H34" s="231" t="s">
        <v>350</v>
      </c>
      <c r="I34" s="231" t="s">
        <v>351</v>
      </c>
      <c r="J34" s="231" t="s">
        <v>352</v>
      </c>
      <c r="K34" s="231" t="s">
        <v>353</v>
      </c>
      <c r="L34" s="231" t="s">
        <v>354</v>
      </c>
      <c r="M34" s="231" t="s">
        <v>355</v>
      </c>
      <c r="N34" s="231" t="s">
        <v>356</v>
      </c>
      <c r="O34" s="231" t="s">
        <v>382</v>
      </c>
      <c r="P34" s="231" t="s">
        <v>383</v>
      </c>
      <c r="Q34" s="235">
        <v>1</v>
      </c>
      <c r="R34" s="231" t="s">
        <v>359</v>
      </c>
      <c r="S34" s="231" t="s">
        <v>360</v>
      </c>
      <c r="T34" s="232">
        <v>80111620</v>
      </c>
      <c r="U34" s="231" t="s">
        <v>389</v>
      </c>
      <c r="V34" s="232">
        <v>1</v>
      </c>
      <c r="W34" s="232">
        <v>1</v>
      </c>
      <c r="X34" s="232">
        <v>330</v>
      </c>
      <c r="Y34" s="237" t="s">
        <v>362</v>
      </c>
      <c r="Z34" s="238" t="s">
        <v>363</v>
      </c>
      <c r="AA34" s="333">
        <v>126500000</v>
      </c>
      <c r="AB34" s="239">
        <v>11500000</v>
      </c>
      <c r="AC34" s="238" t="s">
        <v>390</v>
      </c>
      <c r="AD34" s="238" t="s">
        <v>386</v>
      </c>
      <c r="AE34" s="248"/>
      <c r="AF34" s="249"/>
      <c r="AG34" s="244"/>
      <c r="AH34" s="247"/>
      <c r="AI34" s="357">
        <f t="shared" si="0"/>
        <v>3833333.333333333</v>
      </c>
      <c r="AJ34" s="357">
        <f t="shared" si="1"/>
        <v>11500000</v>
      </c>
      <c r="AK34" s="357">
        <v>11500000</v>
      </c>
      <c r="AL34" s="357">
        <v>11500000</v>
      </c>
      <c r="AM34" s="329">
        <v>11500000</v>
      </c>
      <c r="AN34" s="329">
        <v>11500000</v>
      </c>
      <c r="AO34" s="329">
        <v>11500000</v>
      </c>
      <c r="AP34" s="329">
        <v>11500000</v>
      </c>
      <c r="AQ34" s="329">
        <v>11500000</v>
      </c>
      <c r="AR34" s="329">
        <v>11500000</v>
      </c>
      <c r="AS34" s="329">
        <v>11500000</v>
      </c>
      <c r="AT34" s="329">
        <f t="shared" si="2"/>
        <v>7666666.666666666</v>
      </c>
      <c r="AU34" s="326">
        <f t="shared" si="3"/>
        <v>126500000</v>
      </c>
      <c r="AV34" s="303">
        <f t="shared" si="4"/>
        <v>0</v>
      </c>
      <c r="AX34" s="300">
        <v>0</v>
      </c>
      <c r="AY34" s="300">
        <v>0</v>
      </c>
      <c r="AZ34" s="300">
        <f t="shared" si="7"/>
        <v>126500000</v>
      </c>
      <c r="BA34" s="300">
        <v>0</v>
      </c>
      <c r="BB34" s="299">
        <f t="shared" si="6"/>
        <v>126500000</v>
      </c>
    </row>
    <row r="35" spans="1:54" hidden="1">
      <c r="A35" s="231" t="s">
        <v>347</v>
      </c>
      <c r="B35" s="232" t="s">
        <v>348</v>
      </c>
      <c r="C35" s="232" t="s">
        <v>348</v>
      </c>
      <c r="D35" s="232">
        <v>395</v>
      </c>
      <c r="E35" s="233">
        <v>395</v>
      </c>
      <c r="F35" s="234">
        <v>7673</v>
      </c>
      <c r="G35" s="231" t="s">
        <v>349</v>
      </c>
      <c r="H35" s="231" t="s">
        <v>350</v>
      </c>
      <c r="I35" s="231" t="s">
        <v>351</v>
      </c>
      <c r="J35" s="231" t="s">
        <v>352</v>
      </c>
      <c r="K35" s="231" t="s">
        <v>353</v>
      </c>
      <c r="L35" s="231" t="s">
        <v>354</v>
      </c>
      <c r="M35" s="231" t="s">
        <v>355</v>
      </c>
      <c r="N35" s="231" t="s">
        <v>356</v>
      </c>
      <c r="O35" s="231" t="s">
        <v>382</v>
      </c>
      <c r="P35" s="231" t="s">
        <v>383</v>
      </c>
      <c r="Q35" s="235">
        <v>1</v>
      </c>
      <c r="R35" s="231" t="s">
        <v>359</v>
      </c>
      <c r="S35" s="231" t="s">
        <v>360</v>
      </c>
      <c r="T35" s="232">
        <v>80111620</v>
      </c>
      <c r="U35" s="231" t="s">
        <v>391</v>
      </c>
      <c r="V35" s="232">
        <v>1</v>
      </c>
      <c r="W35" s="232">
        <v>1</v>
      </c>
      <c r="X35" s="232">
        <v>330</v>
      </c>
      <c r="Y35" s="237" t="s">
        <v>362</v>
      </c>
      <c r="Z35" s="238" t="s">
        <v>363</v>
      </c>
      <c r="AA35" s="333">
        <v>113300000</v>
      </c>
      <c r="AB35" s="239">
        <v>10300000</v>
      </c>
      <c r="AC35" s="238" t="s">
        <v>392</v>
      </c>
      <c r="AD35" s="238" t="s">
        <v>386</v>
      </c>
      <c r="AE35" s="250"/>
      <c r="AF35" s="241"/>
      <c r="AG35" s="242"/>
      <c r="AH35" s="247"/>
      <c r="AI35" s="357">
        <f t="shared" si="0"/>
        <v>3433333.333333333</v>
      </c>
      <c r="AJ35" s="357">
        <f t="shared" si="1"/>
        <v>10300000</v>
      </c>
      <c r="AK35" s="357">
        <v>10300000</v>
      </c>
      <c r="AL35" s="357">
        <v>10300000</v>
      </c>
      <c r="AM35" s="329">
        <v>10300000</v>
      </c>
      <c r="AN35" s="329">
        <v>10300000</v>
      </c>
      <c r="AO35" s="329">
        <v>10300000</v>
      </c>
      <c r="AP35" s="329">
        <v>10300000</v>
      </c>
      <c r="AQ35" s="329">
        <v>10300000</v>
      </c>
      <c r="AR35" s="329">
        <v>10300000</v>
      </c>
      <c r="AS35" s="329">
        <v>10300000</v>
      </c>
      <c r="AT35" s="329">
        <f t="shared" si="2"/>
        <v>6866666.666666666</v>
      </c>
      <c r="AU35" s="326">
        <f t="shared" si="3"/>
        <v>113300000</v>
      </c>
      <c r="AV35" s="303">
        <f t="shared" si="4"/>
        <v>0</v>
      </c>
      <c r="AX35" s="300">
        <v>0</v>
      </c>
      <c r="AY35" s="300">
        <v>0</v>
      </c>
      <c r="AZ35" s="300">
        <f t="shared" si="7"/>
        <v>113300000</v>
      </c>
      <c r="BA35" s="300">
        <v>0</v>
      </c>
      <c r="BB35" s="299">
        <f t="shared" si="6"/>
        <v>113300000</v>
      </c>
    </row>
    <row r="36" spans="1:54" hidden="1">
      <c r="A36" s="231" t="s">
        <v>347</v>
      </c>
      <c r="B36" s="232" t="s">
        <v>348</v>
      </c>
      <c r="C36" s="232" t="s">
        <v>348</v>
      </c>
      <c r="D36" s="232">
        <v>396</v>
      </c>
      <c r="E36" s="233">
        <v>396</v>
      </c>
      <c r="F36" s="234">
        <v>7673</v>
      </c>
      <c r="G36" s="231" t="s">
        <v>349</v>
      </c>
      <c r="H36" s="231" t="s">
        <v>350</v>
      </c>
      <c r="I36" s="231" t="s">
        <v>351</v>
      </c>
      <c r="J36" s="231" t="s">
        <v>352</v>
      </c>
      <c r="K36" s="231" t="s">
        <v>353</v>
      </c>
      <c r="L36" s="231" t="s">
        <v>354</v>
      </c>
      <c r="M36" s="231" t="s">
        <v>355</v>
      </c>
      <c r="N36" s="231" t="s">
        <v>356</v>
      </c>
      <c r="O36" s="231" t="s">
        <v>382</v>
      </c>
      <c r="P36" s="231" t="s">
        <v>383</v>
      </c>
      <c r="Q36" s="235">
        <v>1</v>
      </c>
      <c r="R36" s="231" t="s">
        <v>359</v>
      </c>
      <c r="S36" s="231" t="s">
        <v>360</v>
      </c>
      <c r="T36" s="232">
        <v>80111620</v>
      </c>
      <c r="U36" s="231" t="s">
        <v>393</v>
      </c>
      <c r="V36" s="232">
        <v>1</v>
      </c>
      <c r="W36" s="232">
        <v>1</v>
      </c>
      <c r="X36" s="232">
        <v>330</v>
      </c>
      <c r="Y36" s="237" t="s">
        <v>362</v>
      </c>
      <c r="Z36" s="238" t="s">
        <v>363</v>
      </c>
      <c r="AA36" s="333">
        <v>92818000</v>
      </c>
      <c r="AB36" s="239">
        <v>8438000</v>
      </c>
      <c r="AC36" s="238" t="s">
        <v>394</v>
      </c>
      <c r="AD36" s="238" t="s">
        <v>386</v>
      </c>
      <c r="AE36" s="248"/>
      <c r="AF36" s="241"/>
      <c r="AG36" s="242"/>
      <c r="AH36" s="247"/>
      <c r="AI36" s="357">
        <f t="shared" si="0"/>
        <v>2812666.666666667</v>
      </c>
      <c r="AJ36" s="357">
        <f t="shared" si="1"/>
        <v>8438000</v>
      </c>
      <c r="AK36" s="357">
        <v>8438000</v>
      </c>
      <c r="AL36" s="357">
        <v>8438000</v>
      </c>
      <c r="AM36" s="329">
        <v>8438000</v>
      </c>
      <c r="AN36" s="329">
        <v>8438000</v>
      </c>
      <c r="AO36" s="329">
        <v>8438000</v>
      </c>
      <c r="AP36" s="329">
        <v>8438000</v>
      </c>
      <c r="AQ36" s="329">
        <v>8438000</v>
      </c>
      <c r="AR36" s="329">
        <v>8438000</v>
      </c>
      <c r="AS36" s="329">
        <v>8438000</v>
      </c>
      <c r="AT36" s="329">
        <f t="shared" si="2"/>
        <v>5625333.333333334</v>
      </c>
      <c r="AU36" s="326">
        <f t="shared" si="3"/>
        <v>92818000</v>
      </c>
      <c r="AV36" s="303">
        <f t="shared" si="4"/>
        <v>0</v>
      </c>
      <c r="AX36" s="300">
        <v>0</v>
      </c>
      <c r="AY36" s="300">
        <v>0</v>
      </c>
      <c r="AZ36" s="300">
        <f t="shared" si="7"/>
        <v>92818000</v>
      </c>
      <c r="BA36" s="300">
        <v>0</v>
      </c>
      <c r="BB36" s="299">
        <f t="shared" si="6"/>
        <v>92818000</v>
      </c>
    </row>
    <row r="37" spans="1:54" hidden="1">
      <c r="A37" s="231" t="s">
        <v>347</v>
      </c>
      <c r="B37" s="232" t="s">
        <v>348</v>
      </c>
      <c r="C37" s="232" t="s">
        <v>348</v>
      </c>
      <c r="D37" s="232">
        <v>397</v>
      </c>
      <c r="E37" s="233">
        <v>397</v>
      </c>
      <c r="F37" s="234">
        <v>7673</v>
      </c>
      <c r="G37" s="231" t="s">
        <v>349</v>
      </c>
      <c r="H37" s="231" t="s">
        <v>350</v>
      </c>
      <c r="I37" s="231" t="s">
        <v>351</v>
      </c>
      <c r="J37" s="231" t="s">
        <v>352</v>
      </c>
      <c r="K37" s="231" t="s">
        <v>353</v>
      </c>
      <c r="L37" s="231" t="s">
        <v>354</v>
      </c>
      <c r="M37" s="231" t="s">
        <v>355</v>
      </c>
      <c r="N37" s="231" t="s">
        <v>356</v>
      </c>
      <c r="O37" s="231" t="s">
        <v>382</v>
      </c>
      <c r="P37" s="231" t="s">
        <v>383</v>
      </c>
      <c r="Q37" s="235">
        <v>1</v>
      </c>
      <c r="R37" s="231" t="s">
        <v>359</v>
      </c>
      <c r="S37" s="231" t="s">
        <v>360</v>
      </c>
      <c r="T37" s="232">
        <v>80111620</v>
      </c>
      <c r="U37" s="231" t="s">
        <v>395</v>
      </c>
      <c r="V37" s="232">
        <v>1</v>
      </c>
      <c r="W37" s="232">
        <v>1</v>
      </c>
      <c r="X37" s="232">
        <v>330</v>
      </c>
      <c r="Y37" s="237" t="s">
        <v>362</v>
      </c>
      <c r="Z37" s="238" t="s">
        <v>363</v>
      </c>
      <c r="AA37" s="333">
        <v>67980000</v>
      </c>
      <c r="AB37" s="239">
        <v>6180000</v>
      </c>
      <c r="AC37" s="238" t="s">
        <v>396</v>
      </c>
      <c r="AD37" s="238" t="s">
        <v>386</v>
      </c>
      <c r="AE37" s="248"/>
      <c r="AF37" s="241"/>
      <c r="AG37" s="242"/>
      <c r="AH37" s="247"/>
      <c r="AI37" s="357">
        <f t="shared" si="0"/>
        <v>2060000</v>
      </c>
      <c r="AJ37" s="357">
        <f t="shared" si="1"/>
        <v>6180000</v>
      </c>
      <c r="AK37" s="357">
        <v>6180000</v>
      </c>
      <c r="AL37" s="357">
        <v>6180000</v>
      </c>
      <c r="AM37" s="329">
        <v>6180000</v>
      </c>
      <c r="AN37" s="329">
        <v>6180000</v>
      </c>
      <c r="AO37" s="329">
        <v>6180000</v>
      </c>
      <c r="AP37" s="329">
        <v>6180000</v>
      </c>
      <c r="AQ37" s="329">
        <v>6180000</v>
      </c>
      <c r="AR37" s="329">
        <v>6180000</v>
      </c>
      <c r="AS37" s="329">
        <v>6180000</v>
      </c>
      <c r="AT37" s="329">
        <f t="shared" si="2"/>
        <v>4120000</v>
      </c>
      <c r="AU37" s="326">
        <f t="shared" si="3"/>
        <v>67980000</v>
      </c>
      <c r="AV37" s="303">
        <f t="shared" si="4"/>
        <v>0</v>
      </c>
      <c r="AX37" s="300">
        <v>0</v>
      </c>
      <c r="AY37" s="300">
        <v>0</v>
      </c>
      <c r="AZ37" s="300">
        <f t="shared" si="7"/>
        <v>67980000</v>
      </c>
      <c r="BA37" s="300">
        <v>0</v>
      </c>
      <c r="BB37" s="299">
        <f t="shared" si="6"/>
        <v>67980000</v>
      </c>
    </row>
    <row r="38" spans="1:54" hidden="1">
      <c r="A38" s="231" t="s">
        <v>347</v>
      </c>
      <c r="B38" s="232" t="s">
        <v>348</v>
      </c>
      <c r="C38" s="232" t="s">
        <v>348</v>
      </c>
      <c r="D38" s="232">
        <v>398</v>
      </c>
      <c r="E38" s="233">
        <v>398</v>
      </c>
      <c r="F38" s="234">
        <v>7673</v>
      </c>
      <c r="G38" s="231" t="s">
        <v>349</v>
      </c>
      <c r="H38" s="231" t="s">
        <v>350</v>
      </c>
      <c r="I38" s="231" t="s">
        <v>351</v>
      </c>
      <c r="J38" s="231" t="s">
        <v>352</v>
      </c>
      <c r="K38" s="231" t="s">
        <v>353</v>
      </c>
      <c r="L38" s="231" t="s">
        <v>354</v>
      </c>
      <c r="M38" s="231" t="s">
        <v>355</v>
      </c>
      <c r="N38" s="231" t="s">
        <v>356</v>
      </c>
      <c r="O38" s="231" t="s">
        <v>382</v>
      </c>
      <c r="P38" s="231" t="s">
        <v>383</v>
      </c>
      <c r="Q38" s="235">
        <v>1</v>
      </c>
      <c r="R38" s="231" t="s">
        <v>359</v>
      </c>
      <c r="S38" s="231" t="s">
        <v>360</v>
      </c>
      <c r="T38" s="232">
        <v>80111620</v>
      </c>
      <c r="U38" s="231" t="s">
        <v>397</v>
      </c>
      <c r="V38" s="232">
        <v>1</v>
      </c>
      <c r="W38" s="232">
        <v>1</v>
      </c>
      <c r="X38" s="232">
        <v>330</v>
      </c>
      <c r="Y38" s="237" t="s">
        <v>362</v>
      </c>
      <c r="Z38" s="238" t="s">
        <v>363</v>
      </c>
      <c r="AA38" s="333">
        <v>62315000</v>
      </c>
      <c r="AB38" s="239">
        <v>5665000</v>
      </c>
      <c r="AC38" s="238" t="s">
        <v>398</v>
      </c>
      <c r="AD38" s="238" t="s">
        <v>386</v>
      </c>
      <c r="AE38" s="248"/>
      <c r="AF38" s="241"/>
      <c r="AG38" s="242"/>
      <c r="AH38" s="247"/>
      <c r="AI38" s="357">
        <f t="shared" si="0"/>
        <v>1888333.3333333335</v>
      </c>
      <c r="AJ38" s="357">
        <f t="shared" si="1"/>
        <v>5665000</v>
      </c>
      <c r="AK38" s="357">
        <v>5665000</v>
      </c>
      <c r="AL38" s="357">
        <v>5665000</v>
      </c>
      <c r="AM38" s="329">
        <v>5665000</v>
      </c>
      <c r="AN38" s="329">
        <v>5665000</v>
      </c>
      <c r="AO38" s="329">
        <v>5665000</v>
      </c>
      <c r="AP38" s="329">
        <v>5665000</v>
      </c>
      <c r="AQ38" s="329">
        <v>5665000</v>
      </c>
      <c r="AR38" s="329">
        <v>5665000</v>
      </c>
      <c r="AS38" s="329">
        <v>5665000</v>
      </c>
      <c r="AT38" s="329">
        <f t="shared" si="2"/>
        <v>3776666.666666667</v>
      </c>
      <c r="AU38" s="326">
        <f t="shared" si="3"/>
        <v>62315000</v>
      </c>
      <c r="AV38" s="303">
        <f t="shared" si="4"/>
        <v>0</v>
      </c>
      <c r="AX38" s="300">
        <v>0</v>
      </c>
      <c r="AY38" s="300">
        <v>0</v>
      </c>
      <c r="AZ38" s="300">
        <f t="shared" si="7"/>
        <v>62315000</v>
      </c>
      <c r="BA38" s="300">
        <v>0</v>
      </c>
      <c r="BB38" s="299">
        <f t="shared" si="6"/>
        <v>62315000</v>
      </c>
    </row>
    <row r="39" spans="1:54" hidden="1">
      <c r="A39" s="231" t="s">
        <v>347</v>
      </c>
      <c r="B39" s="232" t="s">
        <v>348</v>
      </c>
      <c r="C39" s="232" t="s">
        <v>348</v>
      </c>
      <c r="D39" s="232">
        <v>399</v>
      </c>
      <c r="E39" s="233">
        <v>399</v>
      </c>
      <c r="F39" s="234">
        <v>7673</v>
      </c>
      <c r="G39" s="231" t="s">
        <v>349</v>
      </c>
      <c r="H39" s="231" t="s">
        <v>350</v>
      </c>
      <c r="I39" s="231" t="s">
        <v>351</v>
      </c>
      <c r="J39" s="231" t="s">
        <v>352</v>
      </c>
      <c r="K39" s="231" t="s">
        <v>353</v>
      </c>
      <c r="L39" s="231" t="s">
        <v>354</v>
      </c>
      <c r="M39" s="231" t="s">
        <v>355</v>
      </c>
      <c r="N39" s="231" t="s">
        <v>356</v>
      </c>
      <c r="O39" s="231" t="s">
        <v>382</v>
      </c>
      <c r="P39" s="231" t="s">
        <v>383</v>
      </c>
      <c r="Q39" s="235">
        <v>1</v>
      </c>
      <c r="R39" s="231" t="s">
        <v>359</v>
      </c>
      <c r="S39" s="231" t="s">
        <v>360</v>
      </c>
      <c r="T39" s="232">
        <v>80111620</v>
      </c>
      <c r="U39" s="231" t="s">
        <v>399</v>
      </c>
      <c r="V39" s="232">
        <v>1</v>
      </c>
      <c r="W39" s="232">
        <v>1</v>
      </c>
      <c r="X39" s="232">
        <v>330</v>
      </c>
      <c r="Y39" s="237" t="s">
        <v>362</v>
      </c>
      <c r="Z39" s="238" t="s">
        <v>363</v>
      </c>
      <c r="AA39" s="333">
        <v>62315000</v>
      </c>
      <c r="AB39" s="239">
        <v>5665000</v>
      </c>
      <c r="AC39" s="238" t="s">
        <v>400</v>
      </c>
      <c r="AD39" s="238" t="s">
        <v>386</v>
      </c>
      <c r="AE39" s="250"/>
      <c r="AF39" s="241"/>
      <c r="AG39" s="242"/>
      <c r="AH39" s="247"/>
      <c r="AI39" s="357">
        <f t="shared" si="0"/>
        <v>1888333.3333333335</v>
      </c>
      <c r="AJ39" s="357">
        <f t="shared" si="1"/>
        <v>5665000</v>
      </c>
      <c r="AK39" s="357">
        <v>5665000</v>
      </c>
      <c r="AL39" s="357">
        <v>5665000</v>
      </c>
      <c r="AM39" s="329">
        <v>5665000</v>
      </c>
      <c r="AN39" s="329">
        <v>5665000</v>
      </c>
      <c r="AO39" s="329">
        <v>5665000</v>
      </c>
      <c r="AP39" s="329">
        <v>5665000</v>
      </c>
      <c r="AQ39" s="329">
        <v>5665000</v>
      </c>
      <c r="AR39" s="329">
        <v>5665000</v>
      </c>
      <c r="AS39" s="329">
        <v>5665000</v>
      </c>
      <c r="AT39" s="329">
        <f t="shared" si="2"/>
        <v>3776666.666666667</v>
      </c>
      <c r="AU39" s="326">
        <f t="shared" si="3"/>
        <v>62315000</v>
      </c>
      <c r="AV39" s="303">
        <f t="shared" si="4"/>
        <v>0</v>
      </c>
      <c r="AX39" s="300">
        <v>0</v>
      </c>
      <c r="AY39" s="300">
        <v>0</v>
      </c>
      <c r="AZ39" s="300">
        <f t="shared" si="7"/>
        <v>62315000</v>
      </c>
      <c r="BA39" s="300">
        <v>0</v>
      </c>
      <c r="BB39" s="299">
        <f t="shared" si="6"/>
        <v>62315000</v>
      </c>
    </row>
    <row r="40" spans="1:54" hidden="1">
      <c r="A40" s="231" t="s">
        <v>347</v>
      </c>
      <c r="B40" s="232" t="s">
        <v>348</v>
      </c>
      <c r="C40" s="232" t="s">
        <v>348</v>
      </c>
      <c r="D40" s="232">
        <v>400</v>
      </c>
      <c r="E40" s="233">
        <v>400</v>
      </c>
      <c r="F40" s="234">
        <v>7673</v>
      </c>
      <c r="G40" s="231" t="s">
        <v>349</v>
      </c>
      <c r="H40" s="231" t="s">
        <v>350</v>
      </c>
      <c r="I40" s="231" t="s">
        <v>351</v>
      </c>
      <c r="J40" s="231" t="s">
        <v>352</v>
      </c>
      <c r="K40" s="231" t="s">
        <v>353</v>
      </c>
      <c r="L40" s="231" t="s">
        <v>354</v>
      </c>
      <c r="M40" s="231" t="s">
        <v>355</v>
      </c>
      <c r="N40" s="231" t="s">
        <v>356</v>
      </c>
      <c r="O40" s="231" t="s">
        <v>382</v>
      </c>
      <c r="P40" s="231" t="s">
        <v>383</v>
      </c>
      <c r="Q40" s="235">
        <v>1</v>
      </c>
      <c r="R40" s="231" t="s">
        <v>359</v>
      </c>
      <c r="S40" s="231" t="s">
        <v>360</v>
      </c>
      <c r="T40" s="232">
        <v>80111620</v>
      </c>
      <c r="U40" s="231" t="s">
        <v>401</v>
      </c>
      <c r="V40" s="232">
        <v>1</v>
      </c>
      <c r="W40" s="232">
        <v>1</v>
      </c>
      <c r="X40" s="232">
        <v>330</v>
      </c>
      <c r="Y40" s="237" t="s">
        <v>362</v>
      </c>
      <c r="Z40" s="238" t="s">
        <v>363</v>
      </c>
      <c r="AA40" s="333">
        <v>82500000</v>
      </c>
      <c r="AB40" s="239">
        <v>7500000</v>
      </c>
      <c r="AC40" s="238" t="s">
        <v>402</v>
      </c>
      <c r="AD40" s="238" t="s">
        <v>386</v>
      </c>
      <c r="AE40" s="248"/>
      <c r="AF40" s="241"/>
      <c r="AG40" s="242"/>
      <c r="AH40" s="247"/>
      <c r="AI40" s="357">
        <f t="shared" si="0"/>
        <v>2500000</v>
      </c>
      <c r="AJ40" s="357">
        <f t="shared" si="1"/>
        <v>7500000</v>
      </c>
      <c r="AK40" s="357">
        <v>7500000</v>
      </c>
      <c r="AL40" s="357">
        <v>7500000</v>
      </c>
      <c r="AM40" s="329">
        <v>7500000</v>
      </c>
      <c r="AN40" s="329">
        <v>7500000</v>
      </c>
      <c r="AO40" s="329">
        <v>7500000</v>
      </c>
      <c r="AP40" s="329">
        <v>7500000</v>
      </c>
      <c r="AQ40" s="329">
        <v>7500000</v>
      </c>
      <c r="AR40" s="329">
        <v>7500000</v>
      </c>
      <c r="AS40" s="329">
        <v>7500000</v>
      </c>
      <c r="AT40" s="329">
        <f t="shared" si="2"/>
        <v>5000000</v>
      </c>
      <c r="AU40" s="326">
        <f t="shared" si="3"/>
        <v>82500000</v>
      </c>
      <c r="AV40" s="303">
        <f t="shared" si="4"/>
        <v>0</v>
      </c>
      <c r="AX40" s="300">
        <v>0</v>
      </c>
      <c r="AY40" s="300">
        <v>0</v>
      </c>
      <c r="AZ40" s="300">
        <f t="shared" si="7"/>
        <v>82500000</v>
      </c>
      <c r="BA40" s="300">
        <v>0</v>
      </c>
      <c r="BB40" s="299">
        <f t="shared" si="6"/>
        <v>82500000</v>
      </c>
    </row>
    <row r="41" spans="1:54" hidden="1">
      <c r="A41" s="231" t="s">
        <v>347</v>
      </c>
      <c r="B41" s="232" t="s">
        <v>348</v>
      </c>
      <c r="C41" s="232" t="s">
        <v>348</v>
      </c>
      <c r="D41" s="232">
        <v>401</v>
      </c>
      <c r="E41" s="233">
        <v>401</v>
      </c>
      <c r="F41" s="234">
        <v>7673</v>
      </c>
      <c r="G41" s="231" t="s">
        <v>349</v>
      </c>
      <c r="H41" s="231" t="s">
        <v>350</v>
      </c>
      <c r="I41" s="231" t="s">
        <v>351</v>
      </c>
      <c r="J41" s="231" t="s">
        <v>352</v>
      </c>
      <c r="K41" s="231" t="s">
        <v>353</v>
      </c>
      <c r="L41" s="231" t="s">
        <v>354</v>
      </c>
      <c r="M41" s="231" t="s">
        <v>355</v>
      </c>
      <c r="N41" s="231" t="s">
        <v>356</v>
      </c>
      <c r="O41" s="231" t="s">
        <v>382</v>
      </c>
      <c r="P41" s="231" t="s">
        <v>383</v>
      </c>
      <c r="Q41" s="235">
        <v>1</v>
      </c>
      <c r="R41" s="231" t="s">
        <v>376</v>
      </c>
      <c r="S41" s="231" t="s">
        <v>377</v>
      </c>
      <c r="T41" s="232">
        <v>80111620</v>
      </c>
      <c r="U41" s="231" t="s">
        <v>403</v>
      </c>
      <c r="V41" s="232">
        <v>1</v>
      </c>
      <c r="W41" s="232">
        <v>1</v>
      </c>
      <c r="X41" s="232">
        <v>330</v>
      </c>
      <c r="Y41" s="237" t="s">
        <v>362</v>
      </c>
      <c r="Z41" s="238" t="s">
        <v>363</v>
      </c>
      <c r="AA41" s="333">
        <v>33990000</v>
      </c>
      <c r="AB41" s="239">
        <v>3090000</v>
      </c>
      <c r="AC41" s="238" t="s">
        <v>404</v>
      </c>
      <c r="AD41" s="238" t="s">
        <v>386</v>
      </c>
      <c r="AE41" s="248"/>
      <c r="AF41" s="241"/>
      <c r="AG41" s="242"/>
      <c r="AH41" s="247"/>
      <c r="AI41" s="357">
        <f t="shared" si="0"/>
        <v>1030000</v>
      </c>
      <c r="AJ41" s="357">
        <f t="shared" si="1"/>
        <v>3090000</v>
      </c>
      <c r="AK41" s="357">
        <v>3090000</v>
      </c>
      <c r="AL41" s="357">
        <v>3090000</v>
      </c>
      <c r="AM41" s="329">
        <v>3090000</v>
      </c>
      <c r="AN41" s="329">
        <v>3090000</v>
      </c>
      <c r="AO41" s="329">
        <v>3090000</v>
      </c>
      <c r="AP41" s="329">
        <v>3090000</v>
      </c>
      <c r="AQ41" s="329">
        <v>3090000</v>
      </c>
      <c r="AR41" s="329">
        <v>3090000</v>
      </c>
      <c r="AS41" s="329">
        <v>3090000</v>
      </c>
      <c r="AT41" s="329">
        <f t="shared" si="2"/>
        <v>2060000</v>
      </c>
      <c r="AU41" s="326">
        <f t="shared" si="3"/>
        <v>33990000</v>
      </c>
      <c r="AV41" s="303">
        <f t="shared" si="4"/>
        <v>0</v>
      </c>
      <c r="AX41" s="300">
        <v>0</v>
      </c>
      <c r="AY41" s="300">
        <v>0</v>
      </c>
      <c r="AZ41" s="300">
        <f t="shared" si="7"/>
        <v>33990000</v>
      </c>
      <c r="BA41" s="300">
        <v>0</v>
      </c>
      <c r="BB41" s="299">
        <f t="shared" si="6"/>
        <v>33990000</v>
      </c>
    </row>
    <row r="42" spans="1:54" hidden="1">
      <c r="A42" s="231" t="s">
        <v>347</v>
      </c>
      <c r="B42" s="232" t="s">
        <v>348</v>
      </c>
      <c r="C42" s="232" t="s">
        <v>348</v>
      </c>
      <c r="D42" s="232">
        <v>402</v>
      </c>
      <c r="E42" s="233">
        <v>402</v>
      </c>
      <c r="F42" s="234">
        <v>7673</v>
      </c>
      <c r="G42" s="231" t="s">
        <v>349</v>
      </c>
      <c r="H42" s="231" t="s">
        <v>350</v>
      </c>
      <c r="I42" s="231" t="s">
        <v>351</v>
      </c>
      <c r="J42" s="231" t="s">
        <v>352</v>
      </c>
      <c r="K42" s="231" t="s">
        <v>353</v>
      </c>
      <c r="L42" s="231" t="s">
        <v>354</v>
      </c>
      <c r="M42" s="231" t="s">
        <v>355</v>
      </c>
      <c r="N42" s="231" t="s">
        <v>356</v>
      </c>
      <c r="O42" s="231" t="s">
        <v>382</v>
      </c>
      <c r="P42" s="231" t="s">
        <v>383</v>
      </c>
      <c r="Q42" s="235">
        <v>1</v>
      </c>
      <c r="R42" s="231" t="s">
        <v>376</v>
      </c>
      <c r="S42" s="231" t="s">
        <v>377</v>
      </c>
      <c r="T42" s="232">
        <v>80111620</v>
      </c>
      <c r="U42" s="231" t="s">
        <v>405</v>
      </c>
      <c r="V42" s="232">
        <v>1</v>
      </c>
      <c r="W42" s="232">
        <v>1</v>
      </c>
      <c r="X42" s="232">
        <v>330</v>
      </c>
      <c r="Y42" s="237" t="s">
        <v>362</v>
      </c>
      <c r="Z42" s="238" t="s">
        <v>363</v>
      </c>
      <c r="AA42" s="333">
        <v>56650000</v>
      </c>
      <c r="AB42" s="239">
        <v>5150000</v>
      </c>
      <c r="AC42" s="238" t="s">
        <v>406</v>
      </c>
      <c r="AD42" s="238" t="s">
        <v>386</v>
      </c>
      <c r="AE42" s="248"/>
      <c r="AF42" s="241"/>
      <c r="AG42" s="247"/>
      <c r="AH42" s="247"/>
      <c r="AI42" s="357">
        <f t="shared" si="0"/>
        <v>1716666.6666666665</v>
      </c>
      <c r="AJ42" s="357">
        <f t="shared" si="1"/>
        <v>5150000</v>
      </c>
      <c r="AK42" s="357">
        <v>5150000</v>
      </c>
      <c r="AL42" s="357">
        <v>5150000</v>
      </c>
      <c r="AM42" s="329">
        <v>5150000</v>
      </c>
      <c r="AN42" s="329">
        <v>5150000</v>
      </c>
      <c r="AO42" s="329">
        <v>5150000</v>
      </c>
      <c r="AP42" s="329">
        <v>5150000</v>
      </c>
      <c r="AQ42" s="329">
        <v>5150000</v>
      </c>
      <c r="AR42" s="329">
        <v>5150000</v>
      </c>
      <c r="AS42" s="329">
        <v>5150000</v>
      </c>
      <c r="AT42" s="329">
        <f t="shared" si="2"/>
        <v>3433333.333333333</v>
      </c>
      <c r="AU42" s="326">
        <f t="shared" si="3"/>
        <v>56650000</v>
      </c>
      <c r="AV42" s="303">
        <f t="shared" si="4"/>
        <v>0</v>
      </c>
      <c r="AX42" s="300">
        <v>0</v>
      </c>
      <c r="AY42" s="300">
        <v>0</v>
      </c>
      <c r="AZ42" s="300">
        <f t="shared" si="7"/>
        <v>56650000</v>
      </c>
      <c r="BA42" s="300">
        <v>0</v>
      </c>
      <c r="BB42" s="299">
        <f t="shared" si="6"/>
        <v>56650000</v>
      </c>
    </row>
    <row r="43" spans="1:54" hidden="1">
      <c r="A43" s="231" t="s">
        <v>347</v>
      </c>
      <c r="B43" s="232" t="s">
        <v>348</v>
      </c>
      <c r="C43" s="232" t="s">
        <v>348</v>
      </c>
      <c r="D43" s="232">
        <v>403</v>
      </c>
      <c r="E43" s="233">
        <v>403</v>
      </c>
      <c r="F43" s="234">
        <v>7673</v>
      </c>
      <c r="G43" s="231" t="s">
        <v>349</v>
      </c>
      <c r="H43" s="231" t="s">
        <v>350</v>
      </c>
      <c r="I43" s="231" t="s">
        <v>351</v>
      </c>
      <c r="J43" s="231" t="s">
        <v>352</v>
      </c>
      <c r="K43" s="231" t="s">
        <v>353</v>
      </c>
      <c r="L43" s="231" t="s">
        <v>354</v>
      </c>
      <c r="M43" s="231" t="s">
        <v>355</v>
      </c>
      <c r="N43" s="231" t="s">
        <v>356</v>
      </c>
      <c r="O43" s="231" t="s">
        <v>382</v>
      </c>
      <c r="P43" s="231" t="s">
        <v>383</v>
      </c>
      <c r="Q43" s="235">
        <v>1</v>
      </c>
      <c r="R43" s="231" t="s">
        <v>376</v>
      </c>
      <c r="S43" s="231" t="s">
        <v>377</v>
      </c>
      <c r="T43" s="232">
        <v>80111620</v>
      </c>
      <c r="U43" s="231" t="s">
        <v>405</v>
      </c>
      <c r="V43" s="232">
        <v>1</v>
      </c>
      <c r="W43" s="232">
        <v>1</v>
      </c>
      <c r="X43" s="232">
        <v>330</v>
      </c>
      <c r="Y43" s="237" t="s">
        <v>362</v>
      </c>
      <c r="Z43" s="238" t="s">
        <v>363</v>
      </c>
      <c r="AA43" s="333">
        <v>56650000</v>
      </c>
      <c r="AB43" s="239">
        <v>5150000</v>
      </c>
      <c r="AC43" s="238" t="s">
        <v>406</v>
      </c>
      <c r="AD43" s="251" t="s">
        <v>386</v>
      </c>
      <c r="AE43" s="248"/>
      <c r="AF43" s="241"/>
      <c r="AG43" s="242"/>
      <c r="AH43" s="247"/>
      <c r="AI43" s="357">
        <f t="shared" si="0"/>
        <v>1716666.6666666665</v>
      </c>
      <c r="AJ43" s="357">
        <f t="shared" si="1"/>
        <v>5150000</v>
      </c>
      <c r="AK43" s="357">
        <v>5150000</v>
      </c>
      <c r="AL43" s="357">
        <v>5150000</v>
      </c>
      <c r="AM43" s="329">
        <v>5150000</v>
      </c>
      <c r="AN43" s="329">
        <v>5150000</v>
      </c>
      <c r="AO43" s="329">
        <v>5150000</v>
      </c>
      <c r="AP43" s="329">
        <v>5150000</v>
      </c>
      <c r="AQ43" s="329">
        <v>5150000</v>
      </c>
      <c r="AR43" s="329">
        <v>5150000</v>
      </c>
      <c r="AS43" s="329">
        <v>5150000</v>
      </c>
      <c r="AT43" s="329">
        <f t="shared" si="2"/>
        <v>3433333.333333333</v>
      </c>
      <c r="AU43" s="326">
        <f t="shared" si="3"/>
        <v>56650000</v>
      </c>
      <c r="AV43" s="303">
        <f t="shared" si="4"/>
        <v>0</v>
      </c>
      <c r="AX43" s="300">
        <v>0</v>
      </c>
      <c r="AY43" s="300">
        <v>0</v>
      </c>
      <c r="AZ43" s="300">
        <f t="shared" si="7"/>
        <v>56650000</v>
      </c>
      <c r="BA43" s="300">
        <v>0</v>
      </c>
      <c r="BB43" s="299">
        <f t="shared" si="6"/>
        <v>56650000</v>
      </c>
    </row>
    <row r="44" spans="1:54" hidden="1">
      <c r="A44" s="231" t="s">
        <v>347</v>
      </c>
      <c r="B44" s="232" t="s">
        <v>348</v>
      </c>
      <c r="C44" s="232" t="s">
        <v>348</v>
      </c>
      <c r="D44" s="232">
        <v>404</v>
      </c>
      <c r="E44" s="233">
        <v>404</v>
      </c>
      <c r="F44" s="234">
        <v>7673</v>
      </c>
      <c r="G44" s="231" t="s">
        <v>349</v>
      </c>
      <c r="H44" s="231" t="s">
        <v>350</v>
      </c>
      <c r="I44" s="231" t="s">
        <v>351</v>
      </c>
      <c r="J44" s="231" t="s">
        <v>352</v>
      </c>
      <c r="K44" s="231" t="s">
        <v>353</v>
      </c>
      <c r="L44" s="231" t="s">
        <v>354</v>
      </c>
      <c r="M44" s="231" t="s">
        <v>355</v>
      </c>
      <c r="N44" s="231" t="s">
        <v>356</v>
      </c>
      <c r="O44" s="231" t="s">
        <v>382</v>
      </c>
      <c r="P44" s="231" t="s">
        <v>383</v>
      </c>
      <c r="Q44" s="235">
        <v>1</v>
      </c>
      <c r="R44" s="231" t="s">
        <v>376</v>
      </c>
      <c r="S44" s="231" t="s">
        <v>377</v>
      </c>
      <c r="T44" s="232">
        <v>80111620</v>
      </c>
      <c r="U44" s="231" t="s">
        <v>405</v>
      </c>
      <c r="V44" s="232">
        <v>1</v>
      </c>
      <c r="W44" s="232">
        <v>1</v>
      </c>
      <c r="X44" s="232">
        <v>330</v>
      </c>
      <c r="Y44" s="237" t="s">
        <v>362</v>
      </c>
      <c r="Z44" s="238" t="s">
        <v>363</v>
      </c>
      <c r="AA44" s="333">
        <v>56650000</v>
      </c>
      <c r="AB44" s="239">
        <v>5150000</v>
      </c>
      <c r="AC44" s="238" t="s">
        <v>406</v>
      </c>
      <c r="AD44" s="238" t="s">
        <v>386</v>
      </c>
      <c r="AE44" s="248"/>
      <c r="AF44" s="241"/>
      <c r="AG44" s="242"/>
      <c r="AH44" s="247"/>
      <c r="AI44" s="357">
        <f t="shared" si="0"/>
        <v>1716666.6666666665</v>
      </c>
      <c r="AJ44" s="357">
        <f t="shared" si="1"/>
        <v>5150000</v>
      </c>
      <c r="AK44" s="357">
        <v>5150000</v>
      </c>
      <c r="AL44" s="357">
        <v>5150000</v>
      </c>
      <c r="AM44" s="329">
        <v>5150000</v>
      </c>
      <c r="AN44" s="329">
        <v>5150000</v>
      </c>
      <c r="AO44" s="329">
        <v>5150000</v>
      </c>
      <c r="AP44" s="329">
        <v>5150000</v>
      </c>
      <c r="AQ44" s="329">
        <v>5150000</v>
      </c>
      <c r="AR44" s="329">
        <v>5150000</v>
      </c>
      <c r="AS44" s="329">
        <v>5150000</v>
      </c>
      <c r="AT44" s="329">
        <f t="shared" si="2"/>
        <v>3433333.333333333</v>
      </c>
      <c r="AU44" s="326">
        <f t="shared" si="3"/>
        <v>56650000</v>
      </c>
      <c r="AV44" s="303">
        <f t="shared" si="4"/>
        <v>0</v>
      </c>
      <c r="AX44" s="300">
        <v>0</v>
      </c>
      <c r="AY44" s="300">
        <v>0</v>
      </c>
      <c r="AZ44" s="300">
        <f t="shared" si="7"/>
        <v>56650000</v>
      </c>
      <c r="BA44" s="300">
        <v>0</v>
      </c>
      <c r="BB44" s="299">
        <f t="shared" si="6"/>
        <v>56650000</v>
      </c>
    </row>
    <row r="45" spans="1:54" hidden="1">
      <c r="A45" s="231" t="s">
        <v>347</v>
      </c>
      <c r="B45" s="232" t="s">
        <v>348</v>
      </c>
      <c r="C45" s="232" t="s">
        <v>348</v>
      </c>
      <c r="D45" s="232">
        <v>405</v>
      </c>
      <c r="E45" s="233">
        <v>405</v>
      </c>
      <c r="F45" s="234">
        <v>7673</v>
      </c>
      <c r="G45" s="231" t="s">
        <v>349</v>
      </c>
      <c r="H45" s="231" t="s">
        <v>350</v>
      </c>
      <c r="I45" s="231" t="s">
        <v>351</v>
      </c>
      <c r="J45" s="231" t="s">
        <v>352</v>
      </c>
      <c r="K45" s="231" t="s">
        <v>353</v>
      </c>
      <c r="L45" s="231" t="s">
        <v>354</v>
      </c>
      <c r="M45" s="231" t="s">
        <v>355</v>
      </c>
      <c r="N45" s="231" t="s">
        <v>356</v>
      </c>
      <c r="O45" s="231" t="s">
        <v>382</v>
      </c>
      <c r="P45" s="231" t="s">
        <v>383</v>
      </c>
      <c r="Q45" s="235">
        <v>1</v>
      </c>
      <c r="R45" s="231" t="s">
        <v>376</v>
      </c>
      <c r="S45" s="231" t="s">
        <v>377</v>
      </c>
      <c r="T45" s="232">
        <v>80111620</v>
      </c>
      <c r="U45" s="231" t="s">
        <v>405</v>
      </c>
      <c r="V45" s="232">
        <v>1</v>
      </c>
      <c r="W45" s="232">
        <v>1</v>
      </c>
      <c r="X45" s="232">
        <v>330</v>
      </c>
      <c r="Y45" s="237" t="s">
        <v>362</v>
      </c>
      <c r="Z45" s="238" t="s">
        <v>363</v>
      </c>
      <c r="AA45" s="333">
        <v>56650000</v>
      </c>
      <c r="AB45" s="239">
        <v>5150000</v>
      </c>
      <c r="AC45" s="238" t="s">
        <v>406</v>
      </c>
      <c r="AD45" s="238" t="s">
        <v>386</v>
      </c>
      <c r="AE45" s="250"/>
      <c r="AF45" s="241"/>
      <c r="AG45" s="242"/>
      <c r="AH45" s="247"/>
      <c r="AI45" s="357">
        <f t="shared" si="0"/>
        <v>1716666.6666666665</v>
      </c>
      <c r="AJ45" s="357">
        <f t="shared" si="1"/>
        <v>5150000</v>
      </c>
      <c r="AK45" s="357">
        <v>5150000</v>
      </c>
      <c r="AL45" s="357">
        <v>5150000</v>
      </c>
      <c r="AM45" s="329">
        <v>5150000</v>
      </c>
      <c r="AN45" s="329">
        <v>5150000</v>
      </c>
      <c r="AO45" s="329">
        <v>5150000</v>
      </c>
      <c r="AP45" s="329">
        <v>5150000</v>
      </c>
      <c r="AQ45" s="329">
        <v>5150000</v>
      </c>
      <c r="AR45" s="329">
        <v>5150000</v>
      </c>
      <c r="AS45" s="329">
        <v>5150000</v>
      </c>
      <c r="AT45" s="329">
        <f t="shared" si="2"/>
        <v>3433333.333333333</v>
      </c>
      <c r="AU45" s="326">
        <f t="shared" si="3"/>
        <v>56650000</v>
      </c>
      <c r="AV45" s="303">
        <f t="shared" si="4"/>
        <v>0</v>
      </c>
      <c r="AX45" s="300">
        <v>0</v>
      </c>
      <c r="AY45" s="300">
        <v>0</v>
      </c>
      <c r="AZ45" s="300">
        <f t="shared" si="7"/>
        <v>56650000</v>
      </c>
      <c r="BA45" s="300">
        <v>0</v>
      </c>
      <c r="BB45" s="299">
        <f t="shared" si="6"/>
        <v>56650000</v>
      </c>
    </row>
    <row r="46" spans="1:54" hidden="1">
      <c r="A46" s="231" t="s">
        <v>347</v>
      </c>
      <c r="B46" s="232" t="s">
        <v>348</v>
      </c>
      <c r="C46" s="232" t="s">
        <v>348</v>
      </c>
      <c r="D46" s="232">
        <v>406</v>
      </c>
      <c r="E46" s="233">
        <v>406</v>
      </c>
      <c r="F46" s="234">
        <v>7673</v>
      </c>
      <c r="G46" s="231" t="s">
        <v>349</v>
      </c>
      <c r="H46" s="231" t="s">
        <v>350</v>
      </c>
      <c r="I46" s="231" t="s">
        <v>351</v>
      </c>
      <c r="J46" s="231" t="s">
        <v>352</v>
      </c>
      <c r="K46" s="231" t="s">
        <v>353</v>
      </c>
      <c r="L46" s="231" t="s">
        <v>354</v>
      </c>
      <c r="M46" s="231" t="s">
        <v>355</v>
      </c>
      <c r="N46" s="231" t="s">
        <v>356</v>
      </c>
      <c r="O46" s="231" t="s">
        <v>382</v>
      </c>
      <c r="P46" s="231" t="s">
        <v>383</v>
      </c>
      <c r="Q46" s="235">
        <v>1</v>
      </c>
      <c r="R46" s="231" t="s">
        <v>376</v>
      </c>
      <c r="S46" s="231" t="s">
        <v>377</v>
      </c>
      <c r="T46" s="232">
        <v>80111620</v>
      </c>
      <c r="U46" s="231" t="s">
        <v>405</v>
      </c>
      <c r="V46" s="232">
        <v>1</v>
      </c>
      <c r="W46" s="232">
        <v>1</v>
      </c>
      <c r="X46" s="232">
        <v>330</v>
      </c>
      <c r="Y46" s="237" t="s">
        <v>362</v>
      </c>
      <c r="Z46" s="238" t="s">
        <v>363</v>
      </c>
      <c r="AA46" s="333">
        <v>56650000</v>
      </c>
      <c r="AB46" s="239">
        <v>5150000</v>
      </c>
      <c r="AC46" s="238" t="s">
        <v>406</v>
      </c>
      <c r="AD46" s="238" t="s">
        <v>386</v>
      </c>
      <c r="AE46" s="248"/>
      <c r="AF46" s="241"/>
      <c r="AG46" s="242"/>
      <c r="AH46" s="247"/>
      <c r="AI46" s="357">
        <f t="shared" si="0"/>
        <v>1716666.6666666665</v>
      </c>
      <c r="AJ46" s="357">
        <f t="shared" si="1"/>
        <v>5150000</v>
      </c>
      <c r="AK46" s="357">
        <v>5150000</v>
      </c>
      <c r="AL46" s="357">
        <v>5150000</v>
      </c>
      <c r="AM46" s="329">
        <v>5150000</v>
      </c>
      <c r="AN46" s="329">
        <v>5150000</v>
      </c>
      <c r="AO46" s="329">
        <v>5150000</v>
      </c>
      <c r="AP46" s="329">
        <v>5150000</v>
      </c>
      <c r="AQ46" s="329">
        <v>5150000</v>
      </c>
      <c r="AR46" s="329">
        <v>5150000</v>
      </c>
      <c r="AS46" s="329">
        <v>5150000</v>
      </c>
      <c r="AT46" s="329">
        <f t="shared" si="2"/>
        <v>3433333.333333333</v>
      </c>
      <c r="AU46" s="326">
        <f t="shared" si="3"/>
        <v>56650000</v>
      </c>
      <c r="AV46" s="303">
        <f t="shared" si="4"/>
        <v>0</v>
      </c>
      <c r="AX46" s="300">
        <v>0</v>
      </c>
      <c r="AY46" s="300">
        <v>0</v>
      </c>
      <c r="AZ46" s="300">
        <f t="shared" si="7"/>
        <v>56650000</v>
      </c>
      <c r="BA46" s="300">
        <v>0</v>
      </c>
      <c r="BB46" s="299">
        <f t="shared" si="6"/>
        <v>56650000</v>
      </c>
    </row>
    <row r="47" spans="1:54" hidden="1">
      <c r="A47" s="231" t="s">
        <v>347</v>
      </c>
      <c r="B47" s="232" t="s">
        <v>348</v>
      </c>
      <c r="C47" s="232" t="s">
        <v>348</v>
      </c>
      <c r="D47" s="232">
        <v>407</v>
      </c>
      <c r="E47" s="233">
        <v>407</v>
      </c>
      <c r="F47" s="234">
        <v>7673</v>
      </c>
      <c r="G47" s="231" t="s">
        <v>349</v>
      </c>
      <c r="H47" s="231" t="s">
        <v>350</v>
      </c>
      <c r="I47" s="231" t="s">
        <v>351</v>
      </c>
      <c r="J47" s="231" t="s">
        <v>352</v>
      </c>
      <c r="K47" s="231" t="s">
        <v>353</v>
      </c>
      <c r="L47" s="231" t="s">
        <v>354</v>
      </c>
      <c r="M47" s="231" t="s">
        <v>355</v>
      </c>
      <c r="N47" s="231" t="s">
        <v>356</v>
      </c>
      <c r="O47" s="231" t="s">
        <v>382</v>
      </c>
      <c r="P47" s="231" t="s">
        <v>383</v>
      </c>
      <c r="Q47" s="235">
        <v>1</v>
      </c>
      <c r="R47" s="231" t="s">
        <v>376</v>
      </c>
      <c r="S47" s="231" t="s">
        <v>377</v>
      </c>
      <c r="T47" s="232">
        <v>80111620</v>
      </c>
      <c r="U47" s="231" t="s">
        <v>405</v>
      </c>
      <c r="V47" s="232">
        <v>1</v>
      </c>
      <c r="W47" s="232">
        <v>1</v>
      </c>
      <c r="X47" s="232">
        <v>330</v>
      </c>
      <c r="Y47" s="237" t="s">
        <v>362</v>
      </c>
      <c r="Z47" s="238" t="s">
        <v>363</v>
      </c>
      <c r="AA47" s="333">
        <v>56650000</v>
      </c>
      <c r="AB47" s="239">
        <v>5150000</v>
      </c>
      <c r="AC47" s="238" t="s">
        <v>406</v>
      </c>
      <c r="AD47" s="238" t="s">
        <v>386</v>
      </c>
      <c r="AE47" s="250"/>
      <c r="AF47" s="241"/>
      <c r="AG47" s="242"/>
      <c r="AH47" s="247"/>
      <c r="AI47" s="357">
        <f t="shared" si="0"/>
        <v>1716666.6666666665</v>
      </c>
      <c r="AJ47" s="357">
        <f t="shared" si="1"/>
        <v>5150000</v>
      </c>
      <c r="AK47" s="357">
        <v>5150000</v>
      </c>
      <c r="AL47" s="357">
        <v>5150000</v>
      </c>
      <c r="AM47" s="329">
        <v>5150000</v>
      </c>
      <c r="AN47" s="329">
        <v>5150000</v>
      </c>
      <c r="AO47" s="329">
        <v>5150000</v>
      </c>
      <c r="AP47" s="329">
        <v>5150000</v>
      </c>
      <c r="AQ47" s="329">
        <v>5150000</v>
      </c>
      <c r="AR47" s="329">
        <v>5150000</v>
      </c>
      <c r="AS47" s="329">
        <v>5150000</v>
      </c>
      <c r="AT47" s="329">
        <f t="shared" si="2"/>
        <v>3433333.333333333</v>
      </c>
      <c r="AU47" s="326">
        <f t="shared" si="3"/>
        <v>56650000</v>
      </c>
      <c r="AV47" s="303">
        <f t="shared" si="4"/>
        <v>0</v>
      </c>
      <c r="AX47" s="300">
        <v>0</v>
      </c>
      <c r="AY47" s="300">
        <v>0</v>
      </c>
      <c r="AZ47" s="300">
        <f t="shared" si="7"/>
        <v>56650000</v>
      </c>
      <c r="BA47" s="300">
        <v>0</v>
      </c>
      <c r="BB47" s="299">
        <f t="shared" si="6"/>
        <v>56650000</v>
      </c>
    </row>
    <row r="48" spans="1:54" hidden="1">
      <c r="A48" s="231" t="s">
        <v>347</v>
      </c>
      <c r="B48" s="232" t="s">
        <v>348</v>
      </c>
      <c r="C48" s="232" t="s">
        <v>348</v>
      </c>
      <c r="D48" s="232">
        <v>408</v>
      </c>
      <c r="E48" s="233">
        <v>408</v>
      </c>
      <c r="F48" s="234">
        <v>7673</v>
      </c>
      <c r="G48" s="231" t="s">
        <v>349</v>
      </c>
      <c r="H48" s="231" t="s">
        <v>350</v>
      </c>
      <c r="I48" s="231" t="s">
        <v>351</v>
      </c>
      <c r="J48" s="231" t="s">
        <v>352</v>
      </c>
      <c r="K48" s="231" t="s">
        <v>353</v>
      </c>
      <c r="L48" s="231" t="s">
        <v>354</v>
      </c>
      <c r="M48" s="231" t="s">
        <v>355</v>
      </c>
      <c r="N48" s="231" t="s">
        <v>356</v>
      </c>
      <c r="O48" s="231" t="s">
        <v>382</v>
      </c>
      <c r="P48" s="231" t="s">
        <v>383</v>
      </c>
      <c r="Q48" s="235">
        <v>1</v>
      </c>
      <c r="R48" s="231" t="s">
        <v>376</v>
      </c>
      <c r="S48" s="231" t="s">
        <v>377</v>
      </c>
      <c r="T48" s="232">
        <v>80111620</v>
      </c>
      <c r="U48" s="231" t="s">
        <v>405</v>
      </c>
      <c r="V48" s="232">
        <v>1</v>
      </c>
      <c r="W48" s="232">
        <v>1</v>
      </c>
      <c r="X48" s="232">
        <v>330</v>
      </c>
      <c r="Y48" s="237" t="s">
        <v>362</v>
      </c>
      <c r="Z48" s="238" t="s">
        <v>363</v>
      </c>
      <c r="AA48" s="333">
        <v>56650000</v>
      </c>
      <c r="AB48" s="239">
        <v>5150000</v>
      </c>
      <c r="AC48" s="238" t="s">
        <v>406</v>
      </c>
      <c r="AD48" s="238" t="s">
        <v>386</v>
      </c>
      <c r="AE48" s="248"/>
      <c r="AF48" s="241"/>
      <c r="AG48" s="242"/>
      <c r="AH48" s="247"/>
      <c r="AI48" s="357">
        <f t="shared" si="0"/>
        <v>1716666.6666666665</v>
      </c>
      <c r="AJ48" s="357">
        <f t="shared" si="1"/>
        <v>5150000</v>
      </c>
      <c r="AK48" s="357">
        <v>5150000</v>
      </c>
      <c r="AL48" s="357">
        <v>5150000</v>
      </c>
      <c r="AM48" s="329">
        <v>5150000</v>
      </c>
      <c r="AN48" s="329">
        <v>5150000</v>
      </c>
      <c r="AO48" s="329">
        <v>5150000</v>
      </c>
      <c r="AP48" s="329">
        <v>5150000</v>
      </c>
      <c r="AQ48" s="329">
        <v>5150000</v>
      </c>
      <c r="AR48" s="329">
        <v>5150000</v>
      </c>
      <c r="AS48" s="329">
        <v>5150000</v>
      </c>
      <c r="AT48" s="329">
        <f t="shared" si="2"/>
        <v>3433333.333333333</v>
      </c>
      <c r="AU48" s="326">
        <f t="shared" si="3"/>
        <v>56650000</v>
      </c>
      <c r="AV48" s="303">
        <f t="shared" si="4"/>
        <v>0</v>
      </c>
      <c r="AX48" s="300">
        <v>0</v>
      </c>
      <c r="AY48" s="300">
        <v>0</v>
      </c>
      <c r="AZ48" s="300">
        <f t="shared" si="7"/>
        <v>56650000</v>
      </c>
      <c r="BA48" s="300">
        <v>0</v>
      </c>
      <c r="BB48" s="299">
        <f t="shared" si="6"/>
        <v>56650000</v>
      </c>
    </row>
    <row r="49" spans="1:54" hidden="1">
      <c r="A49" s="231" t="s">
        <v>347</v>
      </c>
      <c r="B49" s="232" t="s">
        <v>348</v>
      </c>
      <c r="C49" s="232" t="s">
        <v>348</v>
      </c>
      <c r="D49" s="232">
        <v>409</v>
      </c>
      <c r="E49" s="233">
        <v>409</v>
      </c>
      <c r="F49" s="234">
        <v>7673</v>
      </c>
      <c r="G49" s="231" t="s">
        <v>349</v>
      </c>
      <c r="H49" s="231" t="s">
        <v>350</v>
      </c>
      <c r="I49" s="231" t="s">
        <v>351</v>
      </c>
      <c r="J49" s="231" t="s">
        <v>352</v>
      </c>
      <c r="K49" s="231" t="s">
        <v>353</v>
      </c>
      <c r="L49" s="231" t="s">
        <v>354</v>
      </c>
      <c r="M49" s="231" t="s">
        <v>355</v>
      </c>
      <c r="N49" s="231" t="s">
        <v>356</v>
      </c>
      <c r="O49" s="231" t="s">
        <v>382</v>
      </c>
      <c r="P49" s="231" t="s">
        <v>383</v>
      </c>
      <c r="Q49" s="235">
        <v>1</v>
      </c>
      <c r="R49" s="231" t="s">
        <v>376</v>
      </c>
      <c r="S49" s="231" t="s">
        <v>377</v>
      </c>
      <c r="T49" s="232">
        <v>80111620</v>
      </c>
      <c r="U49" s="231" t="s">
        <v>405</v>
      </c>
      <c r="V49" s="232">
        <v>1</v>
      </c>
      <c r="W49" s="232">
        <v>1</v>
      </c>
      <c r="X49" s="232">
        <v>330</v>
      </c>
      <c r="Y49" s="237" t="s">
        <v>362</v>
      </c>
      <c r="Z49" s="238" t="s">
        <v>363</v>
      </c>
      <c r="AA49" s="333">
        <v>56650000</v>
      </c>
      <c r="AB49" s="239">
        <v>5150000</v>
      </c>
      <c r="AC49" s="238" t="s">
        <v>406</v>
      </c>
      <c r="AD49" s="238" t="s">
        <v>386</v>
      </c>
      <c r="AE49" s="248"/>
      <c r="AF49" s="241"/>
      <c r="AG49" s="242"/>
      <c r="AH49" s="247"/>
      <c r="AI49" s="357">
        <f t="shared" si="0"/>
        <v>1716666.6666666665</v>
      </c>
      <c r="AJ49" s="357">
        <f t="shared" si="1"/>
        <v>5150000</v>
      </c>
      <c r="AK49" s="357">
        <v>5150000</v>
      </c>
      <c r="AL49" s="357">
        <v>5150000</v>
      </c>
      <c r="AM49" s="329">
        <v>5150000</v>
      </c>
      <c r="AN49" s="329">
        <v>5150000</v>
      </c>
      <c r="AO49" s="329">
        <v>5150000</v>
      </c>
      <c r="AP49" s="329">
        <v>5150000</v>
      </c>
      <c r="AQ49" s="329">
        <v>5150000</v>
      </c>
      <c r="AR49" s="329">
        <v>5150000</v>
      </c>
      <c r="AS49" s="329">
        <v>5150000</v>
      </c>
      <c r="AT49" s="329">
        <f t="shared" si="2"/>
        <v>3433333.333333333</v>
      </c>
      <c r="AU49" s="326">
        <f t="shared" si="3"/>
        <v>56650000</v>
      </c>
      <c r="AV49" s="303">
        <f t="shared" si="4"/>
        <v>0</v>
      </c>
      <c r="AX49" s="300">
        <v>0</v>
      </c>
      <c r="AY49" s="300">
        <v>0</v>
      </c>
      <c r="AZ49" s="300">
        <f t="shared" si="7"/>
        <v>56650000</v>
      </c>
      <c r="BA49" s="300">
        <v>0</v>
      </c>
      <c r="BB49" s="299">
        <f t="shared" si="6"/>
        <v>56650000</v>
      </c>
    </row>
    <row r="50" spans="1:54" hidden="1">
      <c r="A50" s="231" t="s">
        <v>347</v>
      </c>
      <c r="B50" s="232" t="s">
        <v>348</v>
      </c>
      <c r="C50" s="232" t="s">
        <v>348</v>
      </c>
      <c r="D50" s="232">
        <v>410</v>
      </c>
      <c r="E50" s="233">
        <v>410</v>
      </c>
      <c r="F50" s="234">
        <v>7673</v>
      </c>
      <c r="G50" s="231" t="s">
        <v>349</v>
      </c>
      <c r="H50" s="231" t="s">
        <v>350</v>
      </c>
      <c r="I50" s="231" t="s">
        <v>351</v>
      </c>
      <c r="J50" s="231" t="s">
        <v>352</v>
      </c>
      <c r="K50" s="231" t="s">
        <v>353</v>
      </c>
      <c r="L50" s="231" t="s">
        <v>354</v>
      </c>
      <c r="M50" s="231" t="s">
        <v>355</v>
      </c>
      <c r="N50" s="231" t="s">
        <v>356</v>
      </c>
      <c r="O50" s="231" t="s">
        <v>382</v>
      </c>
      <c r="P50" s="231" t="s">
        <v>383</v>
      </c>
      <c r="Q50" s="235">
        <v>1</v>
      </c>
      <c r="R50" s="231" t="s">
        <v>376</v>
      </c>
      <c r="S50" s="231" t="s">
        <v>377</v>
      </c>
      <c r="T50" s="232">
        <v>80111620</v>
      </c>
      <c r="U50" s="231" t="s">
        <v>405</v>
      </c>
      <c r="V50" s="232">
        <v>1</v>
      </c>
      <c r="W50" s="232">
        <v>1</v>
      </c>
      <c r="X50" s="232">
        <v>330</v>
      </c>
      <c r="Y50" s="237" t="s">
        <v>362</v>
      </c>
      <c r="Z50" s="238" t="s">
        <v>363</v>
      </c>
      <c r="AA50" s="333">
        <v>56650000</v>
      </c>
      <c r="AB50" s="239">
        <v>5150000</v>
      </c>
      <c r="AC50" s="238" t="s">
        <v>406</v>
      </c>
      <c r="AD50" s="238" t="s">
        <v>386</v>
      </c>
      <c r="AE50" s="248"/>
      <c r="AF50" s="241"/>
      <c r="AG50" s="242"/>
      <c r="AH50" s="247"/>
      <c r="AI50" s="357">
        <f t="shared" si="0"/>
        <v>1716666.6666666665</v>
      </c>
      <c r="AJ50" s="357">
        <f t="shared" si="1"/>
        <v>5150000</v>
      </c>
      <c r="AK50" s="357">
        <v>5150000</v>
      </c>
      <c r="AL50" s="357">
        <v>5150000</v>
      </c>
      <c r="AM50" s="329">
        <v>5150000</v>
      </c>
      <c r="AN50" s="329">
        <v>5150000</v>
      </c>
      <c r="AO50" s="329">
        <v>5150000</v>
      </c>
      <c r="AP50" s="329">
        <v>5150000</v>
      </c>
      <c r="AQ50" s="329">
        <v>5150000</v>
      </c>
      <c r="AR50" s="329">
        <v>5150000</v>
      </c>
      <c r="AS50" s="329">
        <v>5150000</v>
      </c>
      <c r="AT50" s="329">
        <f t="shared" si="2"/>
        <v>3433333.333333333</v>
      </c>
      <c r="AU50" s="326">
        <f t="shared" si="3"/>
        <v>56650000</v>
      </c>
      <c r="AV50" s="303">
        <f t="shared" si="4"/>
        <v>0</v>
      </c>
      <c r="AX50" s="300">
        <v>0</v>
      </c>
      <c r="AY50" s="300">
        <v>0</v>
      </c>
      <c r="AZ50" s="300">
        <f t="shared" si="7"/>
        <v>56650000</v>
      </c>
      <c r="BA50" s="300">
        <v>0</v>
      </c>
      <c r="BB50" s="299">
        <f t="shared" si="6"/>
        <v>56650000</v>
      </c>
    </row>
    <row r="51" spans="1:54" hidden="1">
      <c r="A51" s="231" t="s">
        <v>347</v>
      </c>
      <c r="B51" s="232" t="s">
        <v>348</v>
      </c>
      <c r="C51" s="232" t="s">
        <v>348</v>
      </c>
      <c r="D51" s="232">
        <v>411</v>
      </c>
      <c r="E51" s="233">
        <v>411</v>
      </c>
      <c r="F51" s="234">
        <v>7673</v>
      </c>
      <c r="G51" s="231" t="s">
        <v>349</v>
      </c>
      <c r="H51" s="231" t="s">
        <v>350</v>
      </c>
      <c r="I51" s="231" t="s">
        <v>351</v>
      </c>
      <c r="J51" s="231" t="s">
        <v>352</v>
      </c>
      <c r="K51" s="231" t="s">
        <v>353</v>
      </c>
      <c r="L51" s="231" t="s">
        <v>354</v>
      </c>
      <c r="M51" s="231" t="s">
        <v>355</v>
      </c>
      <c r="N51" s="231" t="s">
        <v>356</v>
      </c>
      <c r="O51" s="231" t="s">
        <v>382</v>
      </c>
      <c r="P51" s="231" t="s">
        <v>383</v>
      </c>
      <c r="Q51" s="235">
        <v>1</v>
      </c>
      <c r="R51" s="231" t="s">
        <v>376</v>
      </c>
      <c r="S51" s="231" t="s">
        <v>377</v>
      </c>
      <c r="T51" s="232">
        <v>80111620</v>
      </c>
      <c r="U51" s="231" t="s">
        <v>405</v>
      </c>
      <c r="V51" s="232">
        <v>1</v>
      </c>
      <c r="W51" s="232">
        <v>1</v>
      </c>
      <c r="X51" s="232">
        <v>330</v>
      </c>
      <c r="Y51" s="237" t="s">
        <v>362</v>
      </c>
      <c r="Z51" s="238" t="s">
        <v>363</v>
      </c>
      <c r="AA51" s="333">
        <v>56650000</v>
      </c>
      <c r="AB51" s="239">
        <v>5150000</v>
      </c>
      <c r="AC51" s="238" t="s">
        <v>406</v>
      </c>
      <c r="AD51" s="238" t="s">
        <v>386</v>
      </c>
      <c r="AE51" s="248"/>
      <c r="AF51" s="241"/>
      <c r="AG51" s="244"/>
      <c r="AH51" s="244"/>
      <c r="AI51" s="357">
        <f t="shared" si="0"/>
        <v>1716666.6666666665</v>
      </c>
      <c r="AJ51" s="357">
        <f t="shared" si="1"/>
        <v>5150000</v>
      </c>
      <c r="AK51" s="357">
        <v>5150000</v>
      </c>
      <c r="AL51" s="357">
        <v>5150000</v>
      </c>
      <c r="AM51" s="329">
        <v>5150000</v>
      </c>
      <c r="AN51" s="329">
        <v>5150000</v>
      </c>
      <c r="AO51" s="329">
        <v>5150000</v>
      </c>
      <c r="AP51" s="329">
        <v>5150000</v>
      </c>
      <c r="AQ51" s="329">
        <v>5150000</v>
      </c>
      <c r="AR51" s="329">
        <v>5150000</v>
      </c>
      <c r="AS51" s="329">
        <v>5150000</v>
      </c>
      <c r="AT51" s="329">
        <f t="shared" si="2"/>
        <v>3433333.333333333</v>
      </c>
      <c r="AU51" s="326">
        <f t="shared" si="3"/>
        <v>56650000</v>
      </c>
      <c r="AV51" s="303">
        <f t="shared" si="4"/>
        <v>0</v>
      </c>
      <c r="AX51" s="300">
        <v>0</v>
      </c>
      <c r="AY51" s="300">
        <v>0</v>
      </c>
      <c r="AZ51" s="300">
        <f t="shared" si="7"/>
        <v>56650000</v>
      </c>
      <c r="BA51" s="300">
        <v>0</v>
      </c>
      <c r="BB51" s="299">
        <f t="shared" si="6"/>
        <v>56650000</v>
      </c>
    </row>
    <row r="52" spans="1:54" hidden="1">
      <c r="A52" s="231" t="s">
        <v>347</v>
      </c>
      <c r="B52" s="232" t="s">
        <v>348</v>
      </c>
      <c r="C52" s="232" t="s">
        <v>348</v>
      </c>
      <c r="D52" s="232">
        <v>412</v>
      </c>
      <c r="E52" s="233">
        <v>412</v>
      </c>
      <c r="F52" s="234">
        <v>7673</v>
      </c>
      <c r="G52" s="231" t="s">
        <v>349</v>
      </c>
      <c r="H52" s="231" t="s">
        <v>350</v>
      </c>
      <c r="I52" s="231" t="s">
        <v>351</v>
      </c>
      <c r="J52" s="231" t="s">
        <v>352</v>
      </c>
      <c r="K52" s="231" t="s">
        <v>353</v>
      </c>
      <c r="L52" s="231" t="s">
        <v>354</v>
      </c>
      <c r="M52" s="231" t="s">
        <v>355</v>
      </c>
      <c r="N52" s="231" t="s">
        <v>356</v>
      </c>
      <c r="O52" s="231" t="s">
        <v>382</v>
      </c>
      <c r="P52" s="231" t="s">
        <v>383</v>
      </c>
      <c r="Q52" s="235">
        <v>1</v>
      </c>
      <c r="R52" s="231" t="s">
        <v>359</v>
      </c>
      <c r="S52" s="231" t="s">
        <v>360</v>
      </c>
      <c r="T52" s="232">
        <v>80111600</v>
      </c>
      <c r="U52" s="231" t="s">
        <v>407</v>
      </c>
      <c r="V52" s="232">
        <v>1</v>
      </c>
      <c r="W52" s="232">
        <v>1</v>
      </c>
      <c r="X52" s="232">
        <v>330</v>
      </c>
      <c r="Y52" s="237" t="s">
        <v>362</v>
      </c>
      <c r="Z52" s="238" t="s">
        <v>363</v>
      </c>
      <c r="AA52" s="333">
        <v>88000000</v>
      </c>
      <c r="AB52" s="239">
        <v>8000000</v>
      </c>
      <c r="AC52" s="238" t="s">
        <v>408</v>
      </c>
      <c r="AD52" s="238" t="s">
        <v>409</v>
      </c>
      <c r="AE52" s="248"/>
      <c r="AF52" s="241"/>
      <c r="AG52" s="244"/>
      <c r="AH52" s="244"/>
      <c r="AI52" s="357">
        <f t="shared" si="0"/>
        <v>2666666.666666667</v>
      </c>
      <c r="AJ52" s="357">
        <f t="shared" si="1"/>
        <v>8000000</v>
      </c>
      <c r="AK52" s="357">
        <v>8000000</v>
      </c>
      <c r="AL52" s="357">
        <v>8000000</v>
      </c>
      <c r="AM52" s="329">
        <v>8000000</v>
      </c>
      <c r="AN52" s="329">
        <v>8000000</v>
      </c>
      <c r="AO52" s="329">
        <v>8000000</v>
      </c>
      <c r="AP52" s="329">
        <v>8000000</v>
      </c>
      <c r="AQ52" s="329">
        <v>8000000</v>
      </c>
      <c r="AR52" s="329">
        <v>8000000</v>
      </c>
      <c r="AS52" s="329">
        <v>8000000</v>
      </c>
      <c r="AT52" s="329">
        <f t="shared" si="2"/>
        <v>5333333.333333334</v>
      </c>
      <c r="AU52" s="326">
        <f t="shared" si="3"/>
        <v>88000000</v>
      </c>
      <c r="AV52" s="303">
        <f t="shared" si="4"/>
        <v>0</v>
      </c>
      <c r="AX52" s="300">
        <v>0</v>
      </c>
      <c r="AY52" s="300">
        <v>0</v>
      </c>
      <c r="AZ52" s="300">
        <f t="shared" si="7"/>
        <v>88000000</v>
      </c>
      <c r="BA52" s="300">
        <v>0</v>
      </c>
      <c r="BB52" s="299">
        <f t="shared" si="6"/>
        <v>88000000</v>
      </c>
    </row>
    <row r="53" spans="1:54" s="275" customFormat="1" hidden="1">
      <c r="A53" s="265" t="s">
        <v>347</v>
      </c>
      <c r="B53" s="266" t="s">
        <v>348</v>
      </c>
      <c r="C53" s="266" t="s">
        <v>348</v>
      </c>
      <c r="D53" s="266">
        <v>413</v>
      </c>
      <c r="E53" s="266">
        <v>413</v>
      </c>
      <c r="F53" s="267">
        <v>7673</v>
      </c>
      <c r="G53" s="265" t="s">
        <v>349</v>
      </c>
      <c r="H53" s="265" t="s">
        <v>410</v>
      </c>
      <c r="I53" s="265" t="s">
        <v>411</v>
      </c>
      <c r="J53" s="265" t="s">
        <v>352</v>
      </c>
      <c r="K53" s="265" t="s">
        <v>353</v>
      </c>
      <c r="L53" s="265" t="s">
        <v>354</v>
      </c>
      <c r="M53" s="265" t="s">
        <v>355</v>
      </c>
      <c r="N53" s="265" t="s">
        <v>356</v>
      </c>
      <c r="O53" s="265" t="s">
        <v>357</v>
      </c>
      <c r="P53" s="265" t="s">
        <v>358</v>
      </c>
      <c r="Q53" s="268">
        <v>1</v>
      </c>
      <c r="R53" s="265" t="s">
        <v>412</v>
      </c>
      <c r="S53" s="265" t="s">
        <v>413</v>
      </c>
      <c r="T53" s="266">
        <v>72151605</v>
      </c>
      <c r="U53" s="265" t="s">
        <v>414</v>
      </c>
      <c r="V53" s="266">
        <v>3</v>
      </c>
      <c r="W53" s="266">
        <v>5</v>
      </c>
      <c r="X53" s="266">
        <v>210</v>
      </c>
      <c r="Y53" s="265" t="s">
        <v>415</v>
      </c>
      <c r="Z53" s="269" t="s">
        <v>363</v>
      </c>
      <c r="AA53" s="385">
        <v>157760500</v>
      </c>
      <c r="AB53" s="270">
        <v>22537214.285714287</v>
      </c>
      <c r="AC53" s="269" t="s">
        <v>416</v>
      </c>
      <c r="AD53" s="269" t="s">
        <v>417</v>
      </c>
      <c r="AE53" s="271"/>
      <c r="AF53" s="272"/>
      <c r="AG53" s="273"/>
      <c r="AH53" s="304"/>
      <c r="AI53" s="358">
        <v>0</v>
      </c>
      <c r="AJ53" s="358">
        <v>0</v>
      </c>
      <c r="AK53" s="358">
        <v>0</v>
      </c>
      <c r="AL53" s="358">
        <v>0</v>
      </c>
      <c r="AM53" s="359">
        <v>0</v>
      </c>
      <c r="AN53" s="358">
        <v>22537214.285714287</v>
      </c>
      <c r="AO53" s="358">
        <v>22537214.285714287</v>
      </c>
      <c r="AP53" s="358">
        <v>22537214.285714287</v>
      </c>
      <c r="AQ53" s="358">
        <v>22537214.285714287</v>
      </c>
      <c r="AR53" s="358">
        <v>22537214.285714287</v>
      </c>
      <c r="AS53" s="358">
        <v>22537214.285714287</v>
      </c>
      <c r="AT53" s="358">
        <v>22537214.285714287</v>
      </c>
      <c r="AU53" s="327">
        <f t="shared" si="3"/>
        <v>157760500.00000003</v>
      </c>
      <c r="AV53" s="307">
        <f t="shared" si="4"/>
        <v>0</v>
      </c>
      <c r="AW53" s="305"/>
      <c r="AX53" s="305">
        <f>AU53</f>
        <v>157760500.00000003</v>
      </c>
      <c r="AY53" s="305">
        <v>0</v>
      </c>
      <c r="AZ53" s="305">
        <v>0</v>
      </c>
      <c r="BA53" s="305">
        <v>0</v>
      </c>
      <c r="BB53" s="306">
        <f t="shared" si="6"/>
        <v>157760500.00000003</v>
      </c>
    </row>
    <row r="54" spans="1:54" s="348" customFormat="1" hidden="1">
      <c r="A54" s="334" t="s">
        <v>347</v>
      </c>
      <c r="B54" s="335" t="s">
        <v>348</v>
      </c>
      <c r="C54" s="335" t="s">
        <v>348</v>
      </c>
      <c r="D54" s="335">
        <v>414</v>
      </c>
      <c r="E54" s="335">
        <v>414</v>
      </c>
      <c r="F54" s="336">
        <v>7673</v>
      </c>
      <c r="G54" s="334" t="s">
        <v>349</v>
      </c>
      <c r="H54" s="334" t="s">
        <v>418</v>
      </c>
      <c r="I54" s="334" t="s">
        <v>419</v>
      </c>
      <c r="J54" s="334" t="s">
        <v>352</v>
      </c>
      <c r="K54" s="334" t="s">
        <v>353</v>
      </c>
      <c r="L54" s="334" t="s">
        <v>354</v>
      </c>
      <c r="M54" s="334" t="s">
        <v>355</v>
      </c>
      <c r="N54" s="334" t="s">
        <v>356</v>
      </c>
      <c r="O54" s="334" t="s">
        <v>357</v>
      </c>
      <c r="P54" s="334" t="s">
        <v>358</v>
      </c>
      <c r="Q54" s="337">
        <v>1</v>
      </c>
      <c r="R54" s="334" t="s">
        <v>420</v>
      </c>
      <c r="S54" s="334" t="s">
        <v>421</v>
      </c>
      <c r="T54" s="335" t="s">
        <v>422</v>
      </c>
      <c r="U54" s="334" t="s">
        <v>423</v>
      </c>
      <c r="V54" s="335">
        <v>3</v>
      </c>
      <c r="W54" s="335">
        <v>5</v>
      </c>
      <c r="X54" s="335">
        <v>30</v>
      </c>
      <c r="Y54" s="334" t="s">
        <v>424</v>
      </c>
      <c r="Z54" s="338" t="s">
        <v>363</v>
      </c>
      <c r="AA54" s="383">
        <v>92608376</v>
      </c>
      <c r="AB54" s="339">
        <v>92608376</v>
      </c>
      <c r="AC54" s="338" t="s">
        <v>425</v>
      </c>
      <c r="AD54" s="338" t="s">
        <v>365</v>
      </c>
      <c r="AE54" s="340"/>
      <c r="AF54" s="341"/>
      <c r="AG54" s="342"/>
      <c r="AH54" s="343"/>
      <c r="AI54" s="360">
        <v>0</v>
      </c>
      <c r="AJ54" s="360">
        <v>0</v>
      </c>
      <c r="AK54" s="360">
        <v>0</v>
      </c>
      <c r="AL54" s="360">
        <v>0</v>
      </c>
      <c r="AM54" s="361">
        <v>0</v>
      </c>
      <c r="AN54" s="361">
        <v>0</v>
      </c>
      <c r="AO54" s="361">
        <v>0</v>
      </c>
      <c r="AP54" s="361">
        <v>0</v>
      </c>
      <c r="AQ54" s="361">
        <v>0</v>
      </c>
      <c r="AR54" s="361">
        <v>92608376</v>
      </c>
      <c r="AS54" s="361">
        <v>0</v>
      </c>
      <c r="AT54" s="361">
        <v>0</v>
      </c>
      <c r="AU54" s="344">
        <f t="shared" si="3"/>
        <v>92608376</v>
      </c>
      <c r="AV54" s="345">
        <f t="shared" si="4"/>
        <v>0</v>
      </c>
      <c r="AW54" s="346"/>
      <c r="AX54" s="346">
        <f>+AU54</f>
        <v>92608376</v>
      </c>
      <c r="AY54" s="346">
        <v>0</v>
      </c>
      <c r="AZ54" s="346">
        <v>0</v>
      </c>
      <c r="BA54" s="346">
        <v>0</v>
      </c>
      <c r="BB54" s="347">
        <f t="shared" si="6"/>
        <v>92608376</v>
      </c>
    </row>
    <row r="55" spans="1:54" s="275" customFormat="1" hidden="1">
      <c r="A55" s="265" t="s">
        <v>347</v>
      </c>
      <c r="B55" s="266" t="s">
        <v>348</v>
      </c>
      <c r="C55" s="266" t="s">
        <v>348</v>
      </c>
      <c r="D55" s="266">
        <v>415</v>
      </c>
      <c r="E55" s="266">
        <v>415</v>
      </c>
      <c r="F55" s="267">
        <v>7673</v>
      </c>
      <c r="G55" s="265" t="s">
        <v>349</v>
      </c>
      <c r="H55" s="265" t="s">
        <v>426</v>
      </c>
      <c r="I55" s="265" t="s">
        <v>427</v>
      </c>
      <c r="J55" s="265" t="s">
        <v>352</v>
      </c>
      <c r="K55" s="265" t="s">
        <v>353</v>
      </c>
      <c r="L55" s="265" t="s">
        <v>354</v>
      </c>
      <c r="M55" s="265" t="s">
        <v>355</v>
      </c>
      <c r="N55" s="265" t="s">
        <v>356</v>
      </c>
      <c r="O55" s="265" t="s">
        <v>382</v>
      </c>
      <c r="P55" s="265" t="s">
        <v>428</v>
      </c>
      <c r="Q55" s="268">
        <v>1</v>
      </c>
      <c r="R55" s="265" t="s">
        <v>376</v>
      </c>
      <c r="S55" s="265" t="s">
        <v>377</v>
      </c>
      <c r="T55" s="266" t="s">
        <v>429</v>
      </c>
      <c r="U55" s="265" t="s">
        <v>430</v>
      </c>
      <c r="V55" s="266">
        <v>4</v>
      </c>
      <c r="W55" s="266">
        <v>5</v>
      </c>
      <c r="X55" s="266">
        <v>240</v>
      </c>
      <c r="Y55" s="276" t="s">
        <v>362</v>
      </c>
      <c r="Z55" s="269" t="s">
        <v>363</v>
      </c>
      <c r="AA55" s="270">
        <v>184761500</v>
      </c>
      <c r="AB55" s="270">
        <v>23095187.5</v>
      </c>
      <c r="AC55" s="269" t="s">
        <v>431</v>
      </c>
      <c r="AD55" s="269" t="s">
        <v>386</v>
      </c>
      <c r="AE55" s="271"/>
      <c r="AF55" s="272"/>
      <c r="AG55" s="273"/>
      <c r="AH55" s="273"/>
      <c r="AI55" s="358">
        <v>0</v>
      </c>
      <c r="AJ55" s="358">
        <v>0</v>
      </c>
      <c r="AK55" s="358">
        <v>0</v>
      </c>
      <c r="AL55" s="358">
        <v>0</v>
      </c>
      <c r="AM55" s="359">
        <v>0</v>
      </c>
      <c r="AN55" s="359">
        <v>0</v>
      </c>
      <c r="AO55" s="359">
        <v>0</v>
      </c>
      <c r="AP55" s="359">
        <f>AA55*40%</f>
        <v>73904600</v>
      </c>
      <c r="AQ55" s="359">
        <v>0</v>
      </c>
      <c r="AR55" s="359">
        <f>AA55*30%</f>
        <v>55428450</v>
      </c>
      <c r="AS55" s="359">
        <v>0</v>
      </c>
      <c r="AT55" s="359">
        <f>AA55*30%</f>
        <v>55428450</v>
      </c>
      <c r="AU55" s="327">
        <f>SUM(AI55:AT55)</f>
        <v>184761500</v>
      </c>
      <c r="AV55" s="307">
        <f t="shared" si="4"/>
        <v>0</v>
      </c>
      <c r="AW55" s="305"/>
      <c r="AX55" s="305">
        <v>0</v>
      </c>
      <c r="AY55" s="305">
        <f>+AU55</f>
        <v>184761500</v>
      </c>
      <c r="AZ55" s="305">
        <v>0</v>
      </c>
      <c r="BA55" s="305">
        <v>0</v>
      </c>
      <c r="BB55" s="306">
        <f t="shared" si="6"/>
        <v>184761500</v>
      </c>
    </row>
    <row r="56" spans="1:54" s="275" customFormat="1" hidden="1">
      <c r="A56" s="265" t="s">
        <v>347</v>
      </c>
      <c r="B56" s="266" t="s">
        <v>348</v>
      </c>
      <c r="C56" s="266" t="s">
        <v>348</v>
      </c>
      <c r="D56" s="266" t="s">
        <v>432</v>
      </c>
      <c r="E56" s="266">
        <v>934</v>
      </c>
      <c r="F56" s="267">
        <v>7673</v>
      </c>
      <c r="G56" s="265" t="s">
        <v>349</v>
      </c>
      <c r="H56" s="265" t="s">
        <v>433</v>
      </c>
      <c r="I56" s="265" t="s">
        <v>427</v>
      </c>
      <c r="J56" s="265" t="s">
        <v>352</v>
      </c>
      <c r="K56" s="265" t="s">
        <v>353</v>
      </c>
      <c r="L56" s="265" t="s">
        <v>354</v>
      </c>
      <c r="M56" s="265" t="s">
        <v>355</v>
      </c>
      <c r="N56" s="277" t="s">
        <v>356</v>
      </c>
      <c r="O56" s="265" t="s">
        <v>357</v>
      </c>
      <c r="P56" s="265" t="s">
        <v>358</v>
      </c>
      <c r="Q56" s="268">
        <v>1</v>
      </c>
      <c r="R56" s="265" t="s">
        <v>434</v>
      </c>
      <c r="S56" s="265" t="s">
        <v>435</v>
      </c>
      <c r="T56" s="266" t="s">
        <v>436</v>
      </c>
      <c r="U56" s="265" t="s">
        <v>437</v>
      </c>
      <c r="V56" s="266">
        <v>8</v>
      </c>
      <c r="W56" s="266">
        <v>11</v>
      </c>
      <c r="X56" s="266">
        <v>360</v>
      </c>
      <c r="Y56" s="278" t="s">
        <v>424</v>
      </c>
      <c r="Z56" s="269" t="s">
        <v>363</v>
      </c>
      <c r="AA56" s="385">
        <v>3360000</v>
      </c>
      <c r="AB56" s="270">
        <v>280000</v>
      </c>
      <c r="AC56" s="269" t="s">
        <v>438</v>
      </c>
      <c r="AD56" s="269" t="s">
        <v>439</v>
      </c>
      <c r="AE56" s="271"/>
      <c r="AF56" s="272"/>
      <c r="AG56" s="279"/>
      <c r="AH56" s="305"/>
      <c r="AI56" s="359">
        <v>280000</v>
      </c>
      <c r="AJ56" s="359">
        <v>280000</v>
      </c>
      <c r="AK56" s="359">
        <v>280000</v>
      </c>
      <c r="AL56" s="359">
        <v>280000</v>
      </c>
      <c r="AM56" s="359">
        <v>280000</v>
      </c>
      <c r="AN56" s="359">
        <v>280000</v>
      </c>
      <c r="AO56" s="359">
        <v>280000</v>
      </c>
      <c r="AP56" s="359">
        <v>280000</v>
      </c>
      <c r="AQ56" s="359">
        <v>280000</v>
      </c>
      <c r="AR56" s="359">
        <v>280000</v>
      </c>
      <c r="AS56" s="359">
        <v>280000</v>
      </c>
      <c r="AT56" s="359">
        <v>280000</v>
      </c>
      <c r="AU56" s="327">
        <f t="shared" si="3"/>
        <v>3360000</v>
      </c>
      <c r="AV56" s="307">
        <f t="shared" si="4"/>
        <v>0</v>
      </c>
      <c r="AW56" s="305"/>
      <c r="AX56" s="305">
        <f>+AU56</f>
        <v>3360000</v>
      </c>
      <c r="AY56" s="305">
        <v>0</v>
      </c>
      <c r="AZ56" s="305">
        <v>0</v>
      </c>
      <c r="BA56" s="305">
        <v>0</v>
      </c>
      <c r="BB56" s="306">
        <f t="shared" si="6"/>
        <v>3360000</v>
      </c>
    </row>
    <row r="57" spans="1:54" s="323" customFormat="1">
      <c r="A57" s="308" t="s">
        <v>347</v>
      </c>
      <c r="B57" s="309" t="s">
        <v>348</v>
      </c>
      <c r="C57" s="309" t="s">
        <v>348</v>
      </c>
      <c r="D57" s="309" t="s">
        <v>440</v>
      </c>
      <c r="E57" s="309">
        <v>935</v>
      </c>
      <c r="F57" s="310">
        <v>7673</v>
      </c>
      <c r="G57" s="308" t="s">
        <v>349</v>
      </c>
      <c r="H57" s="308" t="s">
        <v>441</v>
      </c>
      <c r="I57" s="308" t="s">
        <v>442</v>
      </c>
      <c r="J57" s="308" t="s">
        <v>352</v>
      </c>
      <c r="K57" s="308" t="s">
        <v>353</v>
      </c>
      <c r="L57" s="308" t="s">
        <v>354</v>
      </c>
      <c r="M57" s="308" t="s">
        <v>355</v>
      </c>
      <c r="N57" s="311" t="s">
        <v>356</v>
      </c>
      <c r="O57" s="308" t="s">
        <v>357</v>
      </c>
      <c r="P57" s="308" t="s">
        <v>358</v>
      </c>
      <c r="Q57" s="312">
        <v>0.86</v>
      </c>
      <c r="R57" s="308" t="s">
        <v>443</v>
      </c>
      <c r="S57" s="308" t="s">
        <v>444</v>
      </c>
      <c r="T57" s="309">
        <v>80141607</v>
      </c>
      <c r="U57" s="308" t="s">
        <v>445</v>
      </c>
      <c r="V57" s="309">
        <v>2</v>
      </c>
      <c r="W57" s="309">
        <v>3</v>
      </c>
      <c r="X57" s="313">
        <v>240</v>
      </c>
      <c r="Y57" s="314" t="s">
        <v>415</v>
      </c>
      <c r="Z57" s="315" t="s">
        <v>363</v>
      </c>
      <c r="AA57" s="384">
        <f>58000000*86%</f>
        <v>49880000</v>
      </c>
      <c r="AB57" s="316">
        <f>7250000*86%</f>
        <v>6235000</v>
      </c>
      <c r="AC57" s="315" t="s">
        <v>446</v>
      </c>
      <c r="AD57" s="315" t="s">
        <v>447</v>
      </c>
      <c r="AE57" s="317"/>
      <c r="AF57" s="318"/>
      <c r="AG57" s="319"/>
      <c r="AH57" s="320"/>
      <c r="AI57" s="362">
        <v>0</v>
      </c>
      <c r="AJ57" s="362">
        <v>0</v>
      </c>
      <c r="AK57" s="363">
        <v>0</v>
      </c>
      <c r="AL57" s="363">
        <v>0</v>
      </c>
      <c r="AM57" s="363">
        <v>0</v>
      </c>
      <c r="AN57" s="364">
        <f t="shared" ref="AN57:AS57" si="8">7250000*86%</f>
        <v>6235000</v>
      </c>
      <c r="AO57" s="364">
        <f t="shared" si="8"/>
        <v>6235000</v>
      </c>
      <c r="AP57" s="364">
        <f t="shared" si="8"/>
        <v>6235000</v>
      </c>
      <c r="AQ57" s="364">
        <f t="shared" si="8"/>
        <v>6235000</v>
      </c>
      <c r="AR57" s="364">
        <f t="shared" si="8"/>
        <v>6235000</v>
      </c>
      <c r="AS57" s="364">
        <f t="shared" si="8"/>
        <v>6235000</v>
      </c>
      <c r="AT57" s="364">
        <f>(7250000*86%)*2</f>
        <v>12470000</v>
      </c>
      <c r="AU57" s="328">
        <f>SUM(AI57:AT57)</f>
        <v>49880000</v>
      </c>
      <c r="AV57" s="322">
        <f t="shared" si="4"/>
        <v>0</v>
      </c>
      <c r="AW57" s="320"/>
      <c r="AX57" s="320">
        <f>AU57*86%</f>
        <v>42896800</v>
      </c>
      <c r="AY57" s="320">
        <v>0</v>
      </c>
      <c r="AZ57" s="320">
        <f>AU57*14%</f>
        <v>6983200.0000000009</v>
      </c>
      <c r="BA57" s="320">
        <v>0</v>
      </c>
      <c r="BB57" s="321">
        <f t="shared" si="6"/>
        <v>49880000</v>
      </c>
    </row>
    <row r="58" spans="1:54" s="323" customFormat="1" hidden="1">
      <c r="A58" s="308" t="s">
        <v>347</v>
      </c>
      <c r="B58" s="309" t="s">
        <v>348</v>
      </c>
      <c r="C58" s="309" t="s">
        <v>348</v>
      </c>
      <c r="D58" s="309" t="s">
        <v>440</v>
      </c>
      <c r="E58" s="309">
        <v>935</v>
      </c>
      <c r="F58" s="310">
        <v>7673</v>
      </c>
      <c r="G58" s="308" t="s">
        <v>349</v>
      </c>
      <c r="H58" s="308" t="s">
        <v>441</v>
      </c>
      <c r="I58" s="308" t="s">
        <v>442</v>
      </c>
      <c r="J58" s="308" t="s">
        <v>352</v>
      </c>
      <c r="K58" s="308" t="s">
        <v>353</v>
      </c>
      <c r="L58" s="308" t="s">
        <v>354</v>
      </c>
      <c r="M58" s="308" t="s">
        <v>355</v>
      </c>
      <c r="N58" s="311" t="s">
        <v>356</v>
      </c>
      <c r="O58" s="308" t="s">
        <v>357</v>
      </c>
      <c r="P58" s="308" t="s">
        <v>383</v>
      </c>
      <c r="Q58" s="312">
        <v>0.14000000000000001</v>
      </c>
      <c r="R58" s="308" t="s">
        <v>443</v>
      </c>
      <c r="S58" s="308" t="s">
        <v>444</v>
      </c>
      <c r="T58" s="309">
        <v>80141607</v>
      </c>
      <c r="U58" s="308" t="s">
        <v>445</v>
      </c>
      <c r="V58" s="309">
        <v>2</v>
      </c>
      <c r="W58" s="309">
        <v>3</v>
      </c>
      <c r="X58" s="313">
        <v>240</v>
      </c>
      <c r="Y58" s="314" t="s">
        <v>415</v>
      </c>
      <c r="Z58" s="315" t="s">
        <v>363</v>
      </c>
      <c r="AA58" s="316">
        <f>58000000*14%</f>
        <v>8120000.0000000009</v>
      </c>
      <c r="AB58" s="316">
        <f>7250000*14%</f>
        <v>1015000.0000000001</v>
      </c>
      <c r="AC58" s="315" t="s">
        <v>446</v>
      </c>
      <c r="AD58" s="315" t="s">
        <v>447</v>
      </c>
      <c r="AE58" s="317"/>
      <c r="AF58" s="318"/>
      <c r="AG58" s="319"/>
      <c r="AH58" s="319"/>
      <c r="AI58" s="362">
        <v>0</v>
      </c>
      <c r="AJ58" s="362">
        <v>0</v>
      </c>
      <c r="AK58" s="363">
        <v>0</v>
      </c>
      <c r="AL58" s="363">
        <v>0</v>
      </c>
      <c r="AM58" s="363">
        <v>0</v>
      </c>
      <c r="AN58" s="367">
        <f t="shared" ref="AN58:AS58" si="9">7250000*14%</f>
        <v>1015000.0000000001</v>
      </c>
      <c r="AO58" s="367">
        <f t="shared" si="9"/>
        <v>1015000.0000000001</v>
      </c>
      <c r="AP58" s="367">
        <f t="shared" si="9"/>
        <v>1015000.0000000001</v>
      </c>
      <c r="AQ58" s="367">
        <f t="shared" si="9"/>
        <v>1015000.0000000001</v>
      </c>
      <c r="AR58" s="367">
        <f t="shared" si="9"/>
        <v>1015000.0000000001</v>
      </c>
      <c r="AS58" s="367">
        <f t="shared" si="9"/>
        <v>1015000.0000000001</v>
      </c>
      <c r="AT58" s="367">
        <f>(7250000*14%)*2</f>
        <v>2030000.0000000002</v>
      </c>
      <c r="AU58" s="328">
        <f t="shared" ref="AU58" si="10">SUM(AI58:AT58)</f>
        <v>8120000.0000000009</v>
      </c>
      <c r="AV58" s="322">
        <f t="shared" ref="AV58" si="11">+AU58-AA58</f>
        <v>0</v>
      </c>
      <c r="AW58" s="320"/>
      <c r="AX58" s="320">
        <f>AU58*86%</f>
        <v>6983200.0000000009</v>
      </c>
      <c r="AY58" s="320">
        <v>0</v>
      </c>
      <c r="AZ58" s="320">
        <f>AU58*14%</f>
        <v>1136800.0000000002</v>
      </c>
      <c r="BA58" s="320">
        <v>0</v>
      </c>
      <c r="BB58" s="321">
        <f t="shared" ref="BB58" si="12">SUM(AX58:BA58)</f>
        <v>8120000.0000000009</v>
      </c>
    </row>
    <row r="59" spans="1:54" s="323" customFormat="1">
      <c r="A59" s="308" t="s">
        <v>347</v>
      </c>
      <c r="B59" s="309" t="s">
        <v>348</v>
      </c>
      <c r="C59" s="309" t="s">
        <v>348</v>
      </c>
      <c r="D59" s="309" t="s">
        <v>448</v>
      </c>
      <c r="E59" s="309">
        <v>937</v>
      </c>
      <c r="F59" s="310">
        <v>7673</v>
      </c>
      <c r="G59" s="308" t="s">
        <v>349</v>
      </c>
      <c r="H59" s="308" t="s">
        <v>449</v>
      </c>
      <c r="I59" s="308" t="s">
        <v>450</v>
      </c>
      <c r="J59" s="308" t="s">
        <v>352</v>
      </c>
      <c r="K59" s="308" t="s">
        <v>353</v>
      </c>
      <c r="L59" s="308" t="s">
        <v>354</v>
      </c>
      <c r="M59" s="308" t="s">
        <v>355</v>
      </c>
      <c r="N59" s="311" t="s">
        <v>356</v>
      </c>
      <c r="O59" s="308" t="s">
        <v>357</v>
      </c>
      <c r="P59" s="308" t="s">
        <v>358</v>
      </c>
      <c r="Q59" s="312">
        <v>0.71</v>
      </c>
      <c r="R59" s="308" t="s">
        <v>451</v>
      </c>
      <c r="S59" s="308" t="s">
        <v>452</v>
      </c>
      <c r="T59" s="309" t="s">
        <v>453</v>
      </c>
      <c r="U59" s="308" t="s">
        <v>454</v>
      </c>
      <c r="V59" s="309">
        <v>4</v>
      </c>
      <c r="W59" s="309">
        <v>5</v>
      </c>
      <c r="X59" s="313">
        <v>60</v>
      </c>
      <c r="Y59" s="314" t="s">
        <v>455</v>
      </c>
      <c r="Z59" s="315" t="s">
        <v>363</v>
      </c>
      <c r="AA59" s="384">
        <f>5117000*71%</f>
        <v>3633070</v>
      </c>
      <c r="AB59" s="316">
        <f>2558500*71%</f>
        <v>1816535</v>
      </c>
      <c r="AC59" s="315" t="s">
        <v>456</v>
      </c>
      <c r="AD59" s="315" t="s">
        <v>457</v>
      </c>
      <c r="AE59" s="317"/>
      <c r="AF59" s="318"/>
      <c r="AG59" s="319"/>
      <c r="AH59" s="320"/>
      <c r="AI59" s="362">
        <v>0</v>
      </c>
      <c r="AJ59" s="362">
        <v>0</v>
      </c>
      <c r="AK59" s="363">
        <v>0</v>
      </c>
      <c r="AL59" s="363">
        <v>0</v>
      </c>
      <c r="AM59" s="363">
        <v>0</v>
      </c>
      <c r="AN59" s="363">
        <v>0</v>
      </c>
      <c r="AO59" s="363">
        <v>0</v>
      </c>
      <c r="AP59" s="363">
        <v>0</v>
      </c>
      <c r="AQ59" s="363">
        <v>0</v>
      </c>
      <c r="AR59" s="363">
        <v>0</v>
      </c>
      <c r="AS59" s="363">
        <v>0</v>
      </c>
      <c r="AT59" s="364">
        <f>5117000*71%</f>
        <v>3633070</v>
      </c>
      <c r="AU59" s="328">
        <f t="shared" si="3"/>
        <v>3633070</v>
      </c>
      <c r="AV59" s="322">
        <f t="shared" si="4"/>
        <v>0</v>
      </c>
      <c r="AW59" s="320"/>
      <c r="AX59" s="320">
        <f>AU59*71%</f>
        <v>2579479.6999999997</v>
      </c>
      <c r="AY59" s="320">
        <v>0</v>
      </c>
      <c r="AZ59" s="320">
        <f>AU59*29%</f>
        <v>1053590.2999999998</v>
      </c>
      <c r="BA59" s="320">
        <v>0</v>
      </c>
      <c r="BB59" s="321">
        <f>SUM(AX59:BA59)</f>
        <v>3633069.9999999995</v>
      </c>
    </row>
    <row r="60" spans="1:54" s="323" customFormat="1" hidden="1">
      <c r="A60" s="308" t="s">
        <v>347</v>
      </c>
      <c r="B60" s="309" t="s">
        <v>348</v>
      </c>
      <c r="C60" s="309" t="s">
        <v>348</v>
      </c>
      <c r="D60" s="309" t="s">
        <v>448</v>
      </c>
      <c r="E60" s="309">
        <v>937</v>
      </c>
      <c r="F60" s="310">
        <v>7673</v>
      </c>
      <c r="G60" s="308" t="s">
        <v>349</v>
      </c>
      <c r="H60" s="308" t="s">
        <v>449</v>
      </c>
      <c r="I60" s="308" t="s">
        <v>450</v>
      </c>
      <c r="J60" s="308" t="s">
        <v>352</v>
      </c>
      <c r="K60" s="308" t="s">
        <v>353</v>
      </c>
      <c r="L60" s="308" t="s">
        <v>354</v>
      </c>
      <c r="M60" s="308" t="s">
        <v>355</v>
      </c>
      <c r="N60" s="311" t="s">
        <v>356</v>
      </c>
      <c r="O60" s="308" t="s">
        <v>357</v>
      </c>
      <c r="P60" s="308" t="s">
        <v>383</v>
      </c>
      <c r="Q60" s="312">
        <v>0.28999999999999998</v>
      </c>
      <c r="R60" s="308" t="s">
        <v>451</v>
      </c>
      <c r="S60" s="308" t="s">
        <v>452</v>
      </c>
      <c r="T60" s="309" t="s">
        <v>453</v>
      </c>
      <c r="U60" s="308" t="s">
        <v>454</v>
      </c>
      <c r="V60" s="309">
        <v>4</v>
      </c>
      <c r="W60" s="309">
        <v>5</v>
      </c>
      <c r="X60" s="313">
        <v>60</v>
      </c>
      <c r="Y60" s="314" t="s">
        <v>455</v>
      </c>
      <c r="Z60" s="315" t="s">
        <v>363</v>
      </c>
      <c r="AA60" s="316">
        <f>5117000*29%</f>
        <v>1483930</v>
      </c>
      <c r="AB60" s="316">
        <f>2558500*29%</f>
        <v>741965</v>
      </c>
      <c r="AC60" s="315" t="s">
        <v>456</v>
      </c>
      <c r="AD60" s="315" t="s">
        <v>457</v>
      </c>
      <c r="AE60" s="317"/>
      <c r="AF60" s="318"/>
      <c r="AG60" s="319"/>
      <c r="AH60" s="319"/>
      <c r="AI60" s="362">
        <v>0</v>
      </c>
      <c r="AJ60" s="362">
        <v>0</v>
      </c>
      <c r="AK60" s="363">
        <v>0</v>
      </c>
      <c r="AL60" s="363">
        <v>0</v>
      </c>
      <c r="AM60" s="363">
        <v>0</v>
      </c>
      <c r="AN60" s="363">
        <v>0</v>
      </c>
      <c r="AO60" s="363">
        <v>0</v>
      </c>
      <c r="AP60" s="363">
        <v>0</v>
      </c>
      <c r="AQ60" s="363">
        <v>0</v>
      </c>
      <c r="AR60" s="363">
        <v>0</v>
      </c>
      <c r="AS60" s="363">
        <v>0</v>
      </c>
      <c r="AT60" s="367">
        <f>5117000*29%</f>
        <v>1483930</v>
      </c>
      <c r="AU60" s="328">
        <f t="shared" ref="AU60" si="13">SUM(AI60:AT60)</f>
        <v>1483930</v>
      </c>
      <c r="AV60" s="322">
        <f t="shared" ref="AV60" si="14">+AU60-AA60</f>
        <v>0</v>
      </c>
      <c r="AW60" s="320"/>
      <c r="AX60" s="320">
        <f>AU60*71%</f>
        <v>1053590.3</v>
      </c>
      <c r="AY60" s="320">
        <v>0</v>
      </c>
      <c r="AZ60" s="320">
        <f>AU60*29%</f>
        <v>430339.69999999995</v>
      </c>
      <c r="BA60" s="320">
        <v>0</v>
      </c>
      <c r="BB60" s="321">
        <f>SUM(AX60:BA60)</f>
        <v>1483930</v>
      </c>
    </row>
    <row r="61" spans="1:54" s="323" customFormat="1">
      <c r="A61" s="308" t="s">
        <v>347</v>
      </c>
      <c r="B61" s="309" t="s">
        <v>348</v>
      </c>
      <c r="C61" s="309" t="s">
        <v>348</v>
      </c>
      <c r="D61" s="309" t="s">
        <v>458</v>
      </c>
      <c r="E61" s="309">
        <v>938</v>
      </c>
      <c r="F61" s="310">
        <v>7673</v>
      </c>
      <c r="G61" s="308" t="s">
        <v>349</v>
      </c>
      <c r="H61" s="308" t="s">
        <v>459</v>
      </c>
      <c r="I61" s="308" t="s">
        <v>427</v>
      </c>
      <c r="J61" s="308" t="s">
        <v>352</v>
      </c>
      <c r="K61" s="308" t="s">
        <v>353</v>
      </c>
      <c r="L61" s="308" t="s">
        <v>354</v>
      </c>
      <c r="M61" s="308" t="s">
        <v>355</v>
      </c>
      <c r="N61" s="311" t="s">
        <v>356</v>
      </c>
      <c r="O61" s="308" t="s">
        <v>357</v>
      </c>
      <c r="P61" s="308" t="s">
        <v>358</v>
      </c>
      <c r="Q61" s="312">
        <v>0.95</v>
      </c>
      <c r="R61" s="308" t="s">
        <v>460</v>
      </c>
      <c r="S61" s="308" t="s">
        <v>461</v>
      </c>
      <c r="T61" s="309" t="s">
        <v>462</v>
      </c>
      <c r="U61" s="308" t="s">
        <v>463</v>
      </c>
      <c r="V61" s="309">
        <v>3</v>
      </c>
      <c r="W61" s="309">
        <v>5</v>
      </c>
      <c r="X61" s="313">
        <v>360</v>
      </c>
      <c r="Y61" s="314" t="s">
        <v>464</v>
      </c>
      <c r="Z61" s="315" t="s">
        <v>363</v>
      </c>
      <c r="AA61" s="384">
        <f>471340694*95%</f>
        <v>447773659.29999995</v>
      </c>
      <c r="AB61" s="316">
        <f>39278391.1666667*95%</f>
        <v>37314471.608333364</v>
      </c>
      <c r="AC61" s="315" t="s">
        <v>465</v>
      </c>
      <c r="AD61" s="315" t="s">
        <v>439</v>
      </c>
      <c r="AE61" s="317"/>
      <c r="AF61" s="318"/>
      <c r="AG61" s="319"/>
      <c r="AH61" s="320"/>
      <c r="AI61" s="364">
        <f t="shared" ref="AI61:AT61" si="15">39278391.1666667*95%</f>
        <v>37314471.608333364</v>
      </c>
      <c r="AJ61" s="364">
        <f t="shared" si="15"/>
        <v>37314471.608333364</v>
      </c>
      <c r="AK61" s="364">
        <f t="shared" si="15"/>
        <v>37314471.608333364</v>
      </c>
      <c r="AL61" s="364">
        <f t="shared" si="15"/>
        <v>37314471.608333364</v>
      </c>
      <c r="AM61" s="364">
        <f t="shared" si="15"/>
        <v>37314471.608333364</v>
      </c>
      <c r="AN61" s="364">
        <f t="shared" si="15"/>
        <v>37314471.608333364</v>
      </c>
      <c r="AO61" s="364">
        <f t="shared" si="15"/>
        <v>37314471.608333364</v>
      </c>
      <c r="AP61" s="364">
        <f t="shared" si="15"/>
        <v>37314471.608333364</v>
      </c>
      <c r="AQ61" s="364">
        <f t="shared" si="15"/>
        <v>37314471.608333364</v>
      </c>
      <c r="AR61" s="364">
        <f t="shared" si="15"/>
        <v>37314471.608333364</v>
      </c>
      <c r="AS61" s="364">
        <f t="shared" si="15"/>
        <v>37314471.608333364</v>
      </c>
      <c r="AT61" s="364">
        <f t="shared" si="15"/>
        <v>37314471.608333364</v>
      </c>
      <c r="AU61" s="328">
        <f t="shared" si="3"/>
        <v>447773659.30000025</v>
      </c>
      <c r="AV61" s="322">
        <f t="shared" si="4"/>
        <v>0</v>
      </c>
      <c r="AW61" s="320"/>
      <c r="AX61" s="320">
        <f>AU61*95%</f>
        <v>425384976.33500022</v>
      </c>
      <c r="AY61" s="320">
        <v>0</v>
      </c>
      <c r="AZ61" s="320">
        <f>AU61*5%</f>
        <v>22388682.965000015</v>
      </c>
      <c r="BA61" s="320">
        <v>0</v>
      </c>
      <c r="BB61" s="321">
        <f t="shared" si="6"/>
        <v>447773659.30000025</v>
      </c>
    </row>
    <row r="62" spans="1:54" s="323" customFormat="1" hidden="1">
      <c r="A62" s="308" t="s">
        <v>347</v>
      </c>
      <c r="B62" s="309" t="s">
        <v>348</v>
      </c>
      <c r="C62" s="309" t="s">
        <v>348</v>
      </c>
      <c r="D62" s="309" t="s">
        <v>458</v>
      </c>
      <c r="E62" s="309">
        <v>938</v>
      </c>
      <c r="F62" s="310">
        <v>7673</v>
      </c>
      <c r="G62" s="308" t="s">
        <v>349</v>
      </c>
      <c r="H62" s="308" t="s">
        <v>459</v>
      </c>
      <c r="I62" s="308" t="s">
        <v>427</v>
      </c>
      <c r="J62" s="308" t="s">
        <v>352</v>
      </c>
      <c r="K62" s="308" t="s">
        <v>353</v>
      </c>
      <c r="L62" s="308" t="s">
        <v>354</v>
      </c>
      <c r="M62" s="308" t="s">
        <v>355</v>
      </c>
      <c r="N62" s="311" t="s">
        <v>356</v>
      </c>
      <c r="O62" s="308" t="s">
        <v>357</v>
      </c>
      <c r="P62" s="308" t="s">
        <v>383</v>
      </c>
      <c r="Q62" s="312">
        <v>0.05</v>
      </c>
      <c r="R62" s="308" t="s">
        <v>460</v>
      </c>
      <c r="S62" s="308" t="s">
        <v>461</v>
      </c>
      <c r="T62" s="309" t="s">
        <v>462</v>
      </c>
      <c r="U62" s="308" t="s">
        <v>463</v>
      </c>
      <c r="V62" s="309">
        <v>3</v>
      </c>
      <c r="W62" s="309">
        <v>5</v>
      </c>
      <c r="X62" s="313">
        <v>360</v>
      </c>
      <c r="Y62" s="314" t="s">
        <v>464</v>
      </c>
      <c r="Z62" s="315" t="s">
        <v>363</v>
      </c>
      <c r="AA62" s="316">
        <f>471340694*5%</f>
        <v>23567034.700000003</v>
      </c>
      <c r="AB62" s="316">
        <f>39278391.1666667*5%</f>
        <v>1963919.5583333352</v>
      </c>
      <c r="AC62" s="315" t="s">
        <v>465</v>
      </c>
      <c r="AD62" s="315" t="s">
        <v>439</v>
      </c>
      <c r="AE62" s="317"/>
      <c r="AF62" s="318"/>
      <c r="AG62" s="319"/>
      <c r="AH62" s="319"/>
      <c r="AI62" s="367">
        <f t="shared" ref="AI62:AT62" si="16">39278391.1666667*5%</f>
        <v>1963919.5583333352</v>
      </c>
      <c r="AJ62" s="367">
        <f t="shared" si="16"/>
        <v>1963919.5583333352</v>
      </c>
      <c r="AK62" s="367">
        <f t="shared" si="16"/>
        <v>1963919.5583333352</v>
      </c>
      <c r="AL62" s="367">
        <f t="shared" si="16"/>
        <v>1963919.5583333352</v>
      </c>
      <c r="AM62" s="367">
        <f t="shared" si="16"/>
        <v>1963919.5583333352</v>
      </c>
      <c r="AN62" s="367">
        <f t="shared" si="16"/>
        <v>1963919.5583333352</v>
      </c>
      <c r="AO62" s="367">
        <f t="shared" si="16"/>
        <v>1963919.5583333352</v>
      </c>
      <c r="AP62" s="367">
        <f t="shared" si="16"/>
        <v>1963919.5583333352</v>
      </c>
      <c r="AQ62" s="367">
        <f t="shared" si="16"/>
        <v>1963919.5583333352</v>
      </c>
      <c r="AR62" s="367">
        <f t="shared" si="16"/>
        <v>1963919.5583333352</v>
      </c>
      <c r="AS62" s="367">
        <f t="shared" si="16"/>
        <v>1963919.5583333352</v>
      </c>
      <c r="AT62" s="367">
        <f t="shared" si="16"/>
        <v>1963919.5583333352</v>
      </c>
      <c r="AU62" s="328">
        <f t="shared" ref="AU62" si="17">SUM(AI62:AT62)</f>
        <v>23567034.700000018</v>
      </c>
      <c r="AV62" s="322">
        <f t="shared" ref="AV62" si="18">+AU62-AA62</f>
        <v>0</v>
      </c>
      <c r="AW62" s="320"/>
      <c r="AX62" s="320">
        <f>AU62*95%</f>
        <v>22388682.965000015</v>
      </c>
      <c r="AY62" s="320">
        <v>0</v>
      </c>
      <c r="AZ62" s="320">
        <f>AU62*5%</f>
        <v>1178351.735000001</v>
      </c>
      <c r="BA62" s="320">
        <v>0</v>
      </c>
      <c r="BB62" s="321">
        <f t="shared" ref="BB62" si="19">SUM(AX62:BA62)</f>
        <v>23567034.700000014</v>
      </c>
    </row>
    <row r="63" spans="1:54" s="275" customFormat="1" hidden="1">
      <c r="A63" s="265" t="s">
        <v>347</v>
      </c>
      <c r="B63" s="266" t="s">
        <v>348</v>
      </c>
      <c r="C63" s="266" t="s">
        <v>348</v>
      </c>
      <c r="D63" s="266" t="s">
        <v>466</v>
      </c>
      <c r="E63" s="266">
        <v>939</v>
      </c>
      <c r="F63" s="267">
        <v>7673</v>
      </c>
      <c r="G63" s="265" t="s">
        <v>349</v>
      </c>
      <c r="H63" s="265" t="s">
        <v>467</v>
      </c>
      <c r="I63" s="265" t="s">
        <v>450</v>
      </c>
      <c r="J63" s="265" t="s">
        <v>352</v>
      </c>
      <c r="K63" s="265" t="s">
        <v>353</v>
      </c>
      <c r="L63" s="265" t="s">
        <v>354</v>
      </c>
      <c r="M63" s="265" t="s">
        <v>355</v>
      </c>
      <c r="N63" s="277" t="s">
        <v>356</v>
      </c>
      <c r="O63" s="265" t="s">
        <v>357</v>
      </c>
      <c r="P63" s="265" t="s">
        <v>358</v>
      </c>
      <c r="Q63" s="268">
        <v>1</v>
      </c>
      <c r="R63" s="265" t="s">
        <v>468</v>
      </c>
      <c r="S63" s="265" t="s">
        <v>469</v>
      </c>
      <c r="T63" s="266" t="s">
        <v>470</v>
      </c>
      <c r="U63" s="265" t="s">
        <v>471</v>
      </c>
      <c r="V63" s="266">
        <v>2</v>
      </c>
      <c r="W63" s="266">
        <v>2</v>
      </c>
      <c r="X63" s="266">
        <v>30</v>
      </c>
      <c r="Y63" s="278" t="s">
        <v>455</v>
      </c>
      <c r="Z63" s="269" t="s">
        <v>363</v>
      </c>
      <c r="AA63" s="384">
        <v>5539000</v>
      </c>
      <c r="AB63" s="270">
        <v>5539000</v>
      </c>
      <c r="AC63" s="269" t="s">
        <v>472</v>
      </c>
      <c r="AD63" s="269" t="s">
        <v>447</v>
      </c>
      <c r="AE63" s="271"/>
      <c r="AF63" s="272"/>
      <c r="AG63" s="279"/>
      <c r="AH63" s="305"/>
      <c r="AI63" s="358">
        <v>0</v>
      </c>
      <c r="AJ63" s="358">
        <v>0</v>
      </c>
      <c r="AK63" s="359">
        <v>0</v>
      </c>
      <c r="AL63" s="359">
        <v>0</v>
      </c>
      <c r="AM63" s="359">
        <v>0</v>
      </c>
      <c r="AN63" s="359">
        <v>0</v>
      </c>
      <c r="AO63" s="359">
        <v>0</v>
      </c>
      <c r="AP63" s="359">
        <v>0</v>
      </c>
      <c r="AQ63" s="359">
        <v>0</v>
      </c>
      <c r="AR63" s="359">
        <v>0</v>
      </c>
      <c r="AS63" s="359">
        <v>5539000</v>
      </c>
      <c r="AT63" s="359"/>
      <c r="AU63" s="327">
        <f t="shared" si="3"/>
        <v>5539000</v>
      </c>
      <c r="AV63" s="307">
        <f t="shared" si="4"/>
        <v>0</v>
      </c>
      <c r="AW63" s="305"/>
      <c r="AX63" s="305">
        <f>AU63</f>
        <v>5539000</v>
      </c>
      <c r="AY63" s="305">
        <v>0</v>
      </c>
      <c r="AZ63" s="305">
        <v>0</v>
      </c>
      <c r="BA63" s="305">
        <v>0</v>
      </c>
      <c r="BB63" s="306">
        <f t="shared" si="6"/>
        <v>5539000</v>
      </c>
    </row>
    <row r="64" spans="1:54" s="275" customFormat="1" hidden="1">
      <c r="A64" s="265" t="s">
        <v>347</v>
      </c>
      <c r="B64" s="266" t="s">
        <v>348</v>
      </c>
      <c r="C64" s="266" t="s">
        <v>348</v>
      </c>
      <c r="D64" s="266" t="s">
        <v>473</v>
      </c>
      <c r="E64" s="266">
        <v>941</v>
      </c>
      <c r="F64" s="267">
        <v>7673</v>
      </c>
      <c r="G64" s="265" t="s">
        <v>349</v>
      </c>
      <c r="H64" s="265" t="s">
        <v>474</v>
      </c>
      <c r="I64" s="265" t="s">
        <v>475</v>
      </c>
      <c r="J64" s="265" t="s">
        <v>352</v>
      </c>
      <c r="K64" s="265" t="s">
        <v>353</v>
      </c>
      <c r="L64" s="265" t="s">
        <v>354</v>
      </c>
      <c r="M64" s="265" t="s">
        <v>355</v>
      </c>
      <c r="N64" s="277" t="s">
        <v>356</v>
      </c>
      <c r="O64" s="265" t="s">
        <v>357</v>
      </c>
      <c r="P64" s="265" t="s">
        <v>358</v>
      </c>
      <c r="Q64" s="268">
        <v>1</v>
      </c>
      <c r="R64" s="265" t="s">
        <v>476</v>
      </c>
      <c r="S64" s="265" t="s">
        <v>477</v>
      </c>
      <c r="T64" s="266">
        <v>31162800</v>
      </c>
      <c r="U64" s="265" t="s">
        <v>478</v>
      </c>
      <c r="V64" s="266">
        <v>2</v>
      </c>
      <c r="W64" s="266">
        <v>4</v>
      </c>
      <c r="X64" s="280">
        <v>180</v>
      </c>
      <c r="Y64" s="278" t="s">
        <v>424</v>
      </c>
      <c r="Z64" s="269" t="s">
        <v>363</v>
      </c>
      <c r="AA64" s="384">
        <v>20000000</v>
      </c>
      <c r="AB64" s="270">
        <v>3333333.3333333302</v>
      </c>
      <c r="AC64" s="269" t="s">
        <v>479</v>
      </c>
      <c r="AD64" s="269" t="s">
        <v>447</v>
      </c>
      <c r="AE64" s="271"/>
      <c r="AF64" s="272"/>
      <c r="AG64" s="279"/>
      <c r="AH64" s="305"/>
      <c r="AI64" s="358">
        <v>0</v>
      </c>
      <c r="AJ64" s="358">
        <v>0</v>
      </c>
      <c r="AK64" s="359">
        <v>0</v>
      </c>
      <c r="AL64" s="359">
        <v>0</v>
      </c>
      <c r="AM64" s="359">
        <v>0</v>
      </c>
      <c r="AN64" s="359">
        <v>0</v>
      </c>
      <c r="AO64" s="359">
        <v>3333333.3333333302</v>
      </c>
      <c r="AP64" s="359">
        <v>3333333.3333333302</v>
      </c>
      <c r="AQ64" s="359">
        <v>3333333.3333333302</v>
      </c>
      <c r="AR64" s="359">
        <v>3333333.3333333302</v>
      </c>
      <c r="AS64" s="359">
        <v>3333333.3333333302</v>
      </c>
      <c r="AT64" s="359">
        <v>3333333.3333333302</v>
      </c>
      <c r="AU64" s="327">
        <f t="shared" si="3"/>
        <v>19999999.999999981</v>
      </c>
      <c r="AV64" s="307">
        <f t="shared" si="4"/>
        <v>0</v>
      </c>
      <c r="AW64" s="305"/>
      <c r="AX64" s="305">
        <f>AU64</f>
        <v>19999999.999999981</v>
      </c>
      <c r="AY64" s="305">
        <v>0</v>
      </c>
      <c r="AZ64" s="305">
        <v>0</v>
      </c>
      <c r="BA64" s="305">
        <v>0</v>
      </c>
      <c r="BB64" s="306">
        <f t="shared" si="6"/>
        <v>19999999.999999981</v>
      </c>
    </row>
    <row r="65" spans="1:54" s="323" customFormat="1">
      <c r="A65" s="308" t="s">
        <v>347</v>
      </c>
      <c r="B65" s="309" t="s">
        <v>348</v>
      </c>
      <c r="C65" s="309" t="s">
        <v>348</v>
      </c>
      <c r="D65" s="309" t="s">
        <v>480</v>
      </c>
      <c r="E65" s="309">
        <v>942</v>
      </c>
      <c r="F65" s="310">
        <v>7673</v>
      </c>
      <c r="G65" s="308" t="s">
        <v>349</v>
      </c>
      <c r="H65" s="308" t="s">
        <v>481</v>
      </c>
      <c r="I65" s="308" t="s">
        <v>427</v>
      </c>
      <c r="J65" s="308" t="s">
        <v>352</v>
      </c>
      <c r="K65" s="308" t="s">
        <v>353</v>
      </c>
      <c r="L65" s="308" t="s">
        <v>354</v>
      </c>
      <c r="M65" s="308" t="s">
        <v>355</v>
      </c>
      <c r="N65" s="311" t="s">
        <v>356</v>
      </c>
      <c r="O65" s="308" t="s">
        <v>357</v>
      </c>
      <c r="P65" s="308" t="s">
        <v>358</v>
      </c>
      <c r="Q65" s="312">
        <v>0.81</v>
      </c>
      <c r="R65" s="308" t="s">
        <v>434</v>
      </c>
      <c r="S65" s="308" t="s">
        <v>435</v>
      </c>
      <c r="T65" s="309" t="s">
        <v>482</v>
      </c>
      <c r="U65" s="308" t="s">
        <v>483</v>
      </c>
      <c r="V65" s="309">
        <v>3</v>
      </c>
      <c r="W65" s="309">
        <v>4</v>
      </c>
      <c r="X65" s="313">
        <v>360</v>
      </c>
      <c r="Y65" s="314" t="s">
        <v>455</v>
      </c>
      <c r="Z65" s="315" t="s">
        <v>363</v>
      </c>
      <c r="AA65" s="384">
        <f>71651306*81%</f>
        <v>58037557.860000007</v>
      </c>
      <c r="AB65" s="316">
        <f>5970942.16666667*81%</f>
        <v>4836463.1550000031</v>
      </c>
      <c r="AC65" s="315" t="s">
        <v>484</v>
      </c>
      <c r="AD65" s="315" t="s">
        <v>439</v>
      </c>
      <c r="AE65" s="317"/>
      <c r="AF65" s="318"/>
      <c r="AG65" s="324"/>
      <c r="AH65" s="320"/>
      <c r="AI65" s="364">
        <f t="shared" ref="AI65:AT65" si="20">5970942.16666667*81%</f>
        <v>4836463.1550000031</v>
      </c>
      <c r="AJ65" s="364">
        <f t="shared" si="20"/>
        <v>4836463.1550000031</v>
      </c>
      <c r="AK65" s="364">
        <f t="shared" si="20"/>
        <v>4836463.1550000031</v>
      </c>
      <c r="AL65" s="364">
        <f t="shared" si="20"/>
        <v>4836463.1550000031</v>
      </c>
      <c r="AM65" s="364">
        <f t="shared" si="20"/>
        <v>4836463.1550000031</v>
      </c>
      <c r="AN65" s="364">
        <f t="shared" si="20"/>
        <v>4836463.1550000031</v>
      </c>
      <c r="AO65" s="364">
        <f t="shared" si="20"/>
        <v>4836463.1550000031</v>
      </c>
      <c r="AP65" s="364">
        <f t="shared" si="20"/>
        <v>4836463.1550000031</v>
      </c>
      <c r="AQ65" s="364">
        <f t="shared" si="20"/>
        <v>4836463.1550000031</v>
      </c>
      <c r="AR65" s="364">
        <f t="shared" si="20"/>
        <v>4836463.1550000031</v>
      </c>
      <c r="AS65" s="364">
        <f t="shared" si="20"/>
        <v>4836463.1550000031</v>
      </c>
      <c r="AT65" s="364">
        <f t="shared" si="20"/>
        <v>4836463.1550000031</v>
      </c>
      <c r="AU65" s="328">
        <f t="shared" si="3"/>
        <v>58037557.860000022</v>
      </c>
      <c r="AV65" s="322">
        <f t="shared" si="4"/>
        <v>0</v>
      </c>
      <c r="AW65" s="320"/>
      <c r="AX65" s="320">
        <f>AU65*81%</f>
        <v>47010421.866600022</v>
      </c>
      <c r="AY65" s="320">
        <v>0</v>
      </c>
      <c r="AZ65" s="320">
        <f>AU65*19%</f>
        <v>11027135.993400004</v>
      </c>
      <c r="BA65" s="320">
        <v>0</v>
      </c>
      <c r="BB65" s="321">
        <f t="shared" si="6"/>
        <v>58037557.860000029</v>
      </c>
    </row>
    <row r="66" spans="1:54" s="323" customFormat="1" hidden="1">
      <c r="A66" s="308" t="s">
        <v>347</v>
      </c>
      <c r="B66" s="309" t="s">
        <v>348</v>
      </c>
      <c r="C66" s="309" t="s">
        <v>348</v>
      </c>
      <c r="D66" s="309" t="s">
        <v>480</v>
      </c>
      <c r="E66" s="309">
        <v>942</v>
      </c>
      <c r="F66" s="310">
        <v>7673</v>
      </c>
      <c r="G66" s="308" t="s">
        <v>349</v>
      </c>
      <c r="H66" s="308" t="s">
        <v>481</v>
      </c>
      <c r="I66" s="308" t="s">
        <v>427</v>
      </c>
      <c r="J66" s="308" t="s">
        <v>352</v>
      </c>
      <c r="K66" s="308" t="s">
        <v>353</v>
      </c>
      <c r="L66" s="308" t="s">
        <v>354</v>
      </c>
      <c r="M66" s="308" t="s">
        <v>355</v>
      </c>
      <c r="N66" s="311" t="s">
        <v>356</v>
      </c>
      <c r="O66" s="308" t="s">
        <v>357</v>
      </c>
      <c r="P66" s="308" t="s">
        <v>383</v>
      </c>
      <c r="Q66" s="312">
        <v>0.19</v>
      </c>
      <c r="R66" s="308" t="s">
        <v>434</v>
      </c>
      <c r="S66" s="308" t="s">
        <v>435</v>
      </c>
      <c r="T66" s="309" t="s">
        <v>482</v>
      </c>
      <c r="U66" s="308" t="s">
        <v>483</v>
      </c>
      <c r="V66" s="309">
        <v>3</v>
      </c>
      <c r="W66" s="309">
        <v>4</v>
      </c>
      <c r="X66" s="313">
        <v>360</v>
      </c>
      <c r="Y66" s="314" t="s">
        <v>455</v>
      </c>
      <c r="Z66" s="315" t="s">
        <v>363</v>
      </c>
      <c r="AA66" s="316">
        <f>71651306*19%</f>
        <v>13613748.140000001</v>
      </c>
      <c r="AB66" s="316">
        <f>5970942.16666667*19%</f>
        <v>1134479.0116666672</v>
      </c>
      <c r="AC66" s="315" t="s">
        <v>484</v>
      </c>
      <c r="AD66" s="315" t="s">
        <v>439</v>
      </c>
      <c r="AE66" s="317"/>
      <c r="AF66" s="318"/>
      <c r="AG66" s="324"/>
      <c r="AH66" s="319"/>
      <c r="AI66" s="367">
        <f t="shared" ref="AI66:AT66" si="21">5970942.16666667*19%</f>
        <v>1134479.0116666672</v>
      </c>
      <c r="AJ66" s="367">
        <f t="shared" si="21"/>
        <v>1134479.0116666672</v>
      </c>
      <c r="AK66" s="367">
        <f t="shared" si="21"/>
        <v>1134479.0116666672</v>
      </c>
      <c r="AL66" s="367">
        <f t="shared" si="21"/>
        <v>1134479.0116666672</v>
      </c>
      <c r="AM66" s="367">
        <f t="shared" si="21"/>
        <v>1134479.0116666672</v>
      </c>
      <c r="AN66" s="367">
        <f t="shared" si="21"/>
        <v>1134479.0116666672</v>
      </c>
      <c r="AO66" s="367">
        <f t="shared" si="21"/>
        <v>1134479.0116666672</v>
      </c>
      <c r="AP66" s="367">
        <f t="shared" si="21"/>
        <v>1134479.0116666672</v>
      </c>
      <c r="AQ66" s="367">
        <f t="shared" si="21"/>
        <v>1134479.0116666672</v>
      </c>
      <c r="AR66" s="367">
        <f t="shared" si="21"/>
        <v>1134479.0116666672</v>
      </c>
      <c r="AS66" s="367">
        <f t="shared" si="21"/>
        <v>1134479.0116666672</v>
      </c>
      <c r="AT66" s="367">
        <f t="shared" si="21"/>
        <v>1134479.0116666672</v>
      </c>
      <c r="AU66" s="328">
        <f t="shared" ref="AU66" si="22">SUM(AI66:AT66)</f>
        <v>13613748.140000002</v>
      </c>
      <c r="AV66" s="322">
        <f t="shared" ref="AV66" si="23">+AU66-AA66</f>
        <v>0</v>
      </c>
      <c r="AW66" s="320"/>
      <c r="AX66" s="320">
        <f>AU66*81%</f>
        <v>11027135.993400002</v>
      </c>
      <c r="AY66" s="320">
        <v>0</v>
      </c>
      <c r="AZ66" s="320">
        <f>AU66*19%</f>
        <v>2586612.1466000006</v>
      </c>
      <c r="BA66" s="320">
        <v>0</v>
      </c>
      <c r="BB66" s="321">
        <f t="shared" ref="BB66" si="24">SUM(AX66:BA66)</f>
        <v>13613748.140000002</v>
      </c>
    </row>
    <row r="67" spans="1:54" s="323" customFormat="1">
      <c r="A67" s="308" t="s">
        <v>347</v>
      </c>
      <c r="B67" s="309" t="s">
        <v>348</v>
      </c>
      <c r="C67" s="309" t="s">
        <v>348</v>
      </c>
      <c r="D67" s="309" t="s">
        <v>485</v>
      </c>
      <c r="E67" s="309">
        <v>943</v>
      </c>
      <c r="F67" s="310">
        <v>7673</v>
      </c>
      <c r="G67" s="308" t="s">
        <v>349</v>
      </c>
      <c r="H67" s="308" t="s">
        <v>486</v>
      </c>
      <c r="I67" s="308" t="s">
        <v>450</v>
      </c>
      <c r="J67" s="308" t="s">
        <v>352</v>
      </c>
      <c r="K67" s="308" t="s">
        <v>353</v>
      </c>
      <c r="L67" s="308" t="s">
        <v>354</v>
      </c>
      <c r="M67" s="308" t="s">
        <v>355</v>
      </c>
      <c r="N67" s="311" t="s">
        <v>356</v>
      </c>
      <c r="O67" s="308" t="s">
        <v>357</v>
      </c>
      <c r="P67" s="308" t="s">
        <v>358</v>
      </c>
      <c r="Q67" s="312">
        <v>0.91</v>
      </c>
      <c r="R67" s="308" t="s">
        <v>487</v>
      </c>
      <c r="S67" s="308" t="s">
        <v>488</v>
      </c>
      <c r="T67" s="309" t="s">
        <v>489</v>
      </c>
      <c r="U67" s="308" t="s">
        <v>490</v>
      </c>
      <c r="V67" s="309">
        <v>3</v>
      </c>
      <c r="W67" s="309">
        <v>4</v>
      </c>
      <c r="X67" s="309">
        <v>240</v>
      </c>
      <c r="Y67" s="314" t="s">
        <v>424</v>
      </c>
      <c r="Z67" s="315" t="s">
        <v>363</v>
      </c>
      <c r="AA67" s="384">
        <f>5500000*91%</f>
        <v>5005000</v>
      </c>
      <c r="AB67" s="316">
        <f>687500*91%</f>
        <v>625625</v>
      </c>
      <c r="AC67" s="315" t="s">
        <v>491</v>
      </c>
      <c r="AD67" s="315" t="s">
        <v>492</v>
      </c>
      <c r="AE67" s="317"/>
      <c r="AF67" s="318"/>
      <c r="AG67" s="319"/>
      <c r="AH67" s="320"/>
      <c r="AI67" s="362">
        <v>0</v>
      </c>
      <c r="AJ67" s="362">
        <v>0</v>
      </c>
      <c r="AK67" s="362">
        <v>0</v>
      </c>
      <c r="AL67" s="362">
        <v>0</v>
      </c>
      <c r="AM67" s="364">
        <f t="shared" ref="AM67:AT67" si="25">687500*91%</f>
        <v>625625</v>
      </c>
      <c r="AN67" s="364">
        <f t="shared" si="25"/>
        <v>625625</v>
      </c>
      <c r="AO67" s="364">
        <f t="shared" si="25"/>
        <v>625625</v>
      </c>
      <c r="AP67" s="364">
        <f t="shared" si="25"/>
        <v>625625</v>
      </c>
      <c r="AQ67" s="364">
        <f t="shared" si="25"/>
        <v>625625</v>
      </c>
      <c r="AR67" s="364">
        <f t="shared" si="25"/>
        <v>625625</v>
      </c>
      <c r="AS67" s="364">
        <f t="shared" si="25"/>
        <v>625625</v>
      </c>
      <c r="AT67" s="364">
        <f t="shared" si="25"/>
        <v>625625</v>
      </c>
      <c r="AU67" s="328">
        <f t="shared" si="3"/>
        <v>5005000</v>
      </c>
      <c r="AV67" s="322">
        <f t="shared" si="4"/>
        <v>0</v>
      </c>
      <c r="AW67" s="320"/>
      <c r="AX67" s="320">
        <f>AU67*91%</f>
        <v>4554550</v>
      </c>
      <c r="AY67" s="320">
        <v>0</v>
      </c>
      <c r="AZ67" s="320">
        <f>AU67*9%</f>
        <v>450450</v>
      </c>
      <c r="BA67" s="320">
        <v>0</v>
      </c>
      <c r="BB67" s="321">
        <f t="shared" si="6"/>
        <v>5005000</v>
      </c>
    </row>
    <row r="68" spans="1:54" s="323" customFormat="1" hidden="1">
      <c r="A68" s="308" t="s">
        <v>347</v>
      </c>
      <c r="B68" s="309" t="s">
        <v>348</v>
      </c>
      <c r="C68" s="309" t="s">
        <v>348</v>
      </c>
      <c r="D68" s="309" t="s">
        <v>485</v>
      </c>
      <c r="E68" s="309">
        <v>943</v>
      </c>
      <c r="F68" s="310">
        <v>7673</v>
      </c>
      <c r="G68" s="308" t="s">
        <v>349</v>
      </c>
      <c r="H68" s="308" t="s">
        <v>486</v>
      </c>
      <c r="I68" s="308" t="s">
        <v>450</v>
      </c>
      <c r="J68" s="308" t="s">
        <v>352</v>
      </c>
      <c r="K68" s="308" t="s">
        <v>353</v>
      </c>
      <c r="L68" s="308" t="s">
        <v>354</v>
      </c>
      <c r="M68" s="308" t="s">
        <v>355</v>
      </c>
      <c r="N68" s="311" t="s">
        <v>356</v>
      </c>
      <c r="O68" s="308" t="s">
        <v>357</v>
      </c>
      <c r="P68" s="308" t="s">
        <v>383</v>
      </c>
      <c r="Q68" s="312">
        <v>0.09</v>
      </c>
      <c r="R68" s="308" t="s">
        <v>487</v>
      </c>
      <c r="S68" s="308" t="s">
        <v>488</v>
      </c>
      <c r="T68" s="309" t="s">
        <v>489</v>
      </c>
      <c r="U68" s="308" t="s">
        <v>490</v>
      </c>
      <c r="V68" s="309">
        <v>3</v>
      </c>
      <c r="W68" s="309">
        <v>4</v>
      </c>
      <c r="X68" s="309">
        <v>240</v>
      </c>
      <c r="Y68" s="314" t="s">
        <v>424</v>
      </c>
      <c r="Z68" s="315" t="s">
        <v>363</v>
      </c>
      <c r="AA68" s="316">
        <f>5500000*9%</f>
        <v>495000</v>
      </c>
      <c r="AB68" s="316">
        <f>687500*9%</f>
        <v>61875</v>
      </c>
      <c r="AC68" s="315" t="s">
        <v>491</v>
      </c>
      <c r="AD68" s="315" t="s">
        <v>492</v>
      </c>
      <c r="AE68" s="317"/>
      <c r="AF68" s="318"/>
      <c r="AG68" s="319"/>
      <c r="AH68" s="319"/>
      <c r="AI68" s="362">
        <v>0</v>
      </c>
      <c r="AJ68" s="362">
        <v>0</v>
      </c>
      <c r="AK68" s="362">
        <v>0</v>
      </c>
      <c r="AL68" s="362">
        <v>0</v>
      </c>
      <c r="AM68" s="367">
        <f t="shared" ref="AM68:AT68" si="26">687500*9%</f>
        <v>61875</v>
      </c>
      <c r="AN68" s="367">
        <f t="shared" si="26"/>
        <v>61875</v>
      </c>
      <c r="AO68" s="367">
        <f t="shared" si="26"/>
        <v>61875</v>
      </c>
      <c r="AP68" s="367">
        <f t="shared" si="26"/>
        <v>61875</v>
      </c>
      <c r="AQ68" s="367">
        <f t="shared" si="26"/>
        <v>61875</v>
      </c>
      <c r="AR68" s="367">
        <f t="shared" si="26"/>
        <v>61875</v>
      </c>
      <c r="AS68" s="367">
        <f t="shared" si="26"/>
        <v>61875</v>
      </c>
      <c r="AT68" s="367">
        <f t="shared" si="26"/>
        <v>61875</v>
      </c>
      <c r="AU68" s="328">
        <f t="shared" ref="AU68" si="27">SUM(AI68:AT68)</f>
        <v>495000</v>
      </c>
      <c r="AV68" s="322">
        <f t="shared" ref="AV68" si="28">+AU68-AA68</f>
        <v>0</v>
      </c>
      <c r="AW68" s="320"/>
      <c r="AX68" s="320">
        <f>AU68*91%</f>
        <v>450450</v>
      </c>
      <c r="AY68" s="320">
        <v>0</v>
      </c>
      <c r="AZ68" s="320">
        <f>AU68*9%</f>
        <v>44550</v>
      </c>
      <c r="BA68" s="320">
        <v>0</v>
      </c>
      <c r="BB68" s="321">
        <f t="shared" ref="BB68" si="29">SUM(AX68:BA68)</f>
        <v>495000</v>
      </c>
    </row>
    <row r="69" spans="1:54" s="275" customFormat="1" hidden="1">
      <c r="A69" s="265" t="s">
        <v>347</v>
      </c>
      <c r="B69" s="266" t="s">
        <v>348</v>
      </c>
      <c r="C69" s="266" t="s">
        <v>348</v>
      </c>
      <c r="D69" s="266" t="s">
        <v>493</v>
      </c>
      <c r="E69" s="266">
        <v>945</v>
      </c>
      <c r="F69" s="267">
        <v>7673</v>
      </c>
      <c r="G69" s="265" t="s">
        <v>349</v>
      </c>
      <c r="H69" s="265" t="s">
        <v>494</v>
      </c>
      <c r="I69" s="265" t="s">
        <v>427</v>
      </c>
      <c r="J69" s="265" t="s">
        <v>352</v>
      </c>
      <c r="K69" s="265" t="s">
        <v>353</v>
      </c>
      <c r="L69" s="265" t="s">
        <v>354</v>
      </c>
      <c r="M69" s="265" t="s">
        <v>355</v>
      </c>
      <c r="N69" s="277" t="s">
        <v>356</v>
      </c>
      <c r="O69" s="265" t="s">
        <v>357</v>
      </c>
      <c r="P69" s="265" t="s">
        <v>358</v>
      </c>
      <c r="Q69" s="268">
        <v>1</v>
      </c>
      <c r="R69" s="265" t="s">
        <v>495</v>
      </c>
      <c r="S69" s="265" t="s">
        <v>496</v>
      </c>
      <c r="T69" s="266">
        <v>82101905</v>
      </c>
      <c r="U69" s="265" t="s">
        <v>497</v>
      </c>
      <c r="V69" s="266">
        <v>5</v>
      </c>
      <c r="W69" s="266">
        <v>8</v>
      </c>
      <c r="X69" s="266">
        <v>360</v>
      </c>
      <c r="Y69" s="278" t="s">
        <v>415</v>
      </c>
      <c r="Z69" s="269" t="s">
        <v>363</v>
      </c>
      <c r="AA69" s="384">
        <v>10550000</v>
      </c>
      <c r="AB69" s="270">
        <v>879166.66666666698</v>
      </c>
      <c r="AC69" s="269" t="s">
        <v>498</v>
      </c>
      <c r="AD69" s="269" t="s">
        <v>499</v>
      </c>
      <c r="AE69" s="271"/>
      <c r="AF69" s="272"/>
      <c r="AG69" s="279"/>
      <c r="AH69" s="305"/>
      <c r="AI69" s="358">
        <v>0</v>
      </c>
      <c r="AJ69" s="358">
        <v>0</v>
      </c>
      <c r="AK69" s="359">
        <v>0</v>
      </c>
      <c r="AL69" s="359">
        <v>0</v>
      </c>
      <c r="AM69" s="359">
        <v>0</v>
      </c>
      <c r="AN69" s="359">
        <v>0</v>
      </c>
      <c r="AO69" s="359">
        <f t="shared" ref="AO69:AT69" si="30">879166.666666667*2</f>
        <v>1758333.333333334</v>
      </c>
      <c r="AP69" s="359">
        <f t="shared" si="30"/>
        <v>1758333.333333334</v>
      </c>
      <c r="AQ69" s="359">
        <f t="shared" si="30"/>
        <v>1758333.333333334</v>
      </c>
      <c r="AR69" s="359">
        <f t="shared" si="30"/>
        <v>1758333.333333334</v>
      </c>
      <c r="AS69" s="359">
        <f t="shared" si="30"/>
        <v>1758333.333333334</v>
      </c>
      <c r="AT69" s="359">
        <f t="shared" si="30"/>
        <v>1758333.333333334</v>
      </c>
      <c r="AU69" s="327">
        <f t="shared" si="3"/>
        <v>10550000.000000004</v>
      </c>
      <c r="AV69" s="307">
        <f t="shared" si="4"/>
        <v>0</v>
      </c>
      <c r="AW69" s="305"/>
      <c r="AX69" s="305">
        <f>AU69</f>
        <v>10550000.000000004</v>
      </c>
      <c r="AY69" s="305">
        <v>0</v>
      </c>
      <c r="AZ69" s="305">
        <v>0</v>
      </c>
      <c r="BA69" s="305">
        <v>0</v>
      </c>
      <c r="BB69" s="306">
        <f t="shared" si="6"/>
        <v>10550000.000000004</v>
      </c>
    </row>
    <row r="70" spans="1:54" s="275" customFormat="1" hidden="1">
      <c r="A70" s="265" t="s">
        <v>347</v>
      </c>
      <c r="B70" s="266" t="s">
        <v>348</v>
      </c>
      <c r="C70" s="266" t="s">
        <v>348</v>
      </c>
      <c r="D70" s="266" t="s">
        <v>500</v>
      </c>
      <c r="E70" s="266">
        <v>946</v>
      </c>
      <c r="F70" s="267">
        <v>7673</v>
      </c>
      <c r="G70" s="265" t="s">
        <v>349</v>
      </c>
      <c r="H70" s="265" t="s">
        <v>501</v>
      </c>
      <c r="I70" s="265" t="s">
        <v>502</v>
      </c>
      <c r="J70" s="265" t="s">
        <v>352</v>
      </c>
      <c r="K70" s="265" t="s">
        <v>353</v>
      </c>
      <c r="L70" s="265" t="s">
        <v>354</v>
      </c>
      <c r="M70" s="265" t="s">
        <v>355</v>
      </c>
      <c r="N70" s="265" t="s">
        <v>356</v>
      </c>
      <c r="O70" s="265" t="s">
        <v>382</v>
      </c>
      <c r="P70" s="265" t="s">
        <v>383</v>
      </c>
      <c r="Q70" s="268">
        <v>1</v>
      </c>
      <c r="R70" s="265" t="s">
        <v>503</v>
      </c>
      <c r="S70" s="265" t="s">
        <v>504</v>
      </c>
      <c r="T70" s="266" t="s">
        <v>505</v>
      </c>
      <c r="U70" s="265" t="s">
        <v>506</v>
      </c>
      <c r="V70" s="266">
        <v>2</v>
      </c>
      <c r="W70" s="266">
        <v>2</v>
      </c>
      <c r="X70" s="266">
        <v>315</v>
      </c>
      <c r="Y70" s="265" t="s">
        <v>455</v>
      </c>
      <c r="Z70" s="269" t="s">
        <v>363</v>
      </c>
      <c r="AA70" s="384">
        <v>8000000</v>
      </c>
      <c r="AB70" s="270">
        <v>761904.76190476189</v>
      </c>
      <c r="AC70" s="269" t="s">
        <v>507</v>
      </c>
      <c r="AD70" s="269" t="s">
        <v>447</v>
      </c>
      <c r="AE70" s="271"/>
      <c r="AF70" s="272"/>
      <c r="AG70" s="279"/>
      <c r="AH70" s="279"/>
      <c r="AI70" s="358">
        <v>0</v>
      </c>
      <c r="AJ70" s="358">
        <v>0</v>
      </c>
      <c r="AK70" s="359">
        <v>0</v>
      </c>
      <c r="AL70" s="359">
        <v>0</v>
      </c>
      <c r="AM70" s="359">
        <v>0</v>
      </c>
      <c r="AN70" s="359">
        <v>1000000</v>
      </c>
      <c r="AO70" s="359">
        <v>1000000</v>
      </c>
      <c r="AP70" s="359">
        <v>1000000</v>
      </c>
      <c r="AQ70" s="359">
        <v>1000000</v>
      </c>
      <c r="AR70" s="359">
        <v>1000000</v>
      </c>
      <c r="AS70" s="359">
        <v>1000000</v>
      </c>
      <c r="AT70" s="359">
        <v>2000000</v>
      </c>
      <c r="AU70" s="327">
        <f t="shared" si="3"/>
        <v>8000000</v>
      </c>
      <c r="AV70" s="307">
        <f t="shared" si="4"/>
        <v>0</v>
      </c>
      <c r="AW70" s="305"/>
      <c r="AX70" s="305">
        <v>0</v>
      </c>
      <c r="AY70" s="305">
        <v>0</v>
      </c>
      <c r="AZ70" s="305">
        <f>AU70</f>
        <v>8000000</v>
      </c>
      <c r="BA70" s="305">
        <v>0</v>
      </c>
      <c r="BB70" s="306">
        <f t="shared" si="6"/>
        <v>8000000</v>
      </c>
    </row>
    <row r="71" spans="1:54" s="348" customFormat="1" hidden="1">
      <c r="A71" s="334" t="s">
        <v>347</v>
      </c>
      <c r="B71" s="335" t="s">
        <v>348</v>
      </c>
      <c r="C71" s="335" t="s">
        <v>348</v>
      </c>
      <c r="D71" s="335" t="s">
        <v>508</v>
      </c>
      <c r="E71" s="335">
        <v>952</v>
      </c>
      <c r="F71" s="336">
        <v>7673</v>
      </c>
      <c r="G71" s="334" t="s">
        <v>349</v>
      </c>
      <c r="H71" s="334" t="s">
        <v>509</v>
      </c>
      <c r="I71" s="334" t="s">
        <v>419</v>
      </c>
      <c r="J71" s="334" t="s">
        <v>352</v>
      </c>
      <c r="K71" s="334" t="s">
        <v>353</v>
      </c>
      <c r="L71" s="334" t="s">
        <v>354</v>
      </c>
      <c r="M71" s="334" t="s">
        <v>355</v>
      </c>
      <c r="N71" s="334" t="s">
        <v>356</v>
      </c>
      <c r="O71" s="334" t="s">
        <v>357</v>
      </c>
      <c r="P71" s="349" t="s">
        <v>358</v>
      </c>
      <c r="Q71" s="337">
        <v>1</v>
      </c>
      <c r="R71" s="338" t="s">
        <v>510</v>
      </c>
      <c r="S71" s="350" t="s">
        <v>511</v>
      </c>
      <c r="T71" s="335" t="s">
        <v>512</v>
      </c>
      <c r="U71" s="334" t="s">
        <v>513</v>
      </c>
      <c r="V71" s="335">
        <v>3</v>
      </c>
      <c r="W71" s="351">
        <v>5</v>
      </c>
      <c r="X71" s="335">
        <v>30</v>
      </c>
      <c r="Y71" s="334" t="s">
        <v>455</v>
      </c>
      <c r="Z71" s="352" t="s">
        <v>363</v>
      </c>
      <c r="AA71" s="386">
        <v>92608376</v>
      </c>
      <c r="AB71" s="339">
        <v>92608376</v>
      </c>
      <c r="AC71" s="338" t="s">
        <v>514</v>
      </c>
      <c r="AD71" s="338" t="s">
        <v>417</v>
      </c>
      <c r="AE71" s="340"/>
      <c r="AF71" s="341"/>
      <c r="AG71" s="342"/>
      <c r="AH71" s="343"/>
      <c r="AI71" s="360">
        <v>0</v>
      </c>
      <c r="AJ71" s="360">
        <v>0</v>
      </c>
      <c r="AK71" s="361">
        <v>0</v>
      </c>
      <c r="AL71" s="361">
        <v>0</v>
      </c>
      <c r="AM71" s="361">
        <v>0</v>
      </c>
      <c r="AN71" s="361">
        <v>0</v>
      </c>
      <c r="AO71" s="361">
        <v>0</v>
      </c>
      <c r="AP71" s="361">
        <v>0</v>
      </c>
      <c r="AQ71" s="361">
        <v>0</v>
      </c>
      <c r="AR71" s="361">
        <v>0</v>
      </c>
      <c r="AS71" s="361">
        <v>92608376</v>
      </c>
      <c r="AT71" s="361">
        <v>0</v>
      </c>
      <c r="AU71" s="344">
        <f t="shared" si="3"/>
        <v>92608376</v>
      </c>
      <c r="AV71" s="345">
        <f t="shared" si="4"/>
        <v>0</v>
      </c>
      <c r="AW71" s="346"/>
      <c r="AX71" s="346">
        <f>AU71</f>
        <v>92608376</v>
      </c>
      <c r="AY71" s="346">
        <v>0</v>
      </c>
      <c r="AZ71" s="346">
        <v>0</v>
      </c>
      <c r="BA71" s="346">
        <v>0</v>
      </c>
      <c r="BB71" s="347">
        <f t="shared" si="6"/>
        <v>92608376</v>
      </c>
    </row>
    <row r="72" spans="1:54" s="275" customFormat="1" hidden="1">
      <c r="A72" s="265" t="s">
        <v>347</v>
      </c>
      <c r="B72" s="266" t="s">
        <v>348</v>
      </c>
      <c r="C72" s="266" t="s">
        <v>348</v>
      </c>
      <c r="D72" s="266">
        <v>952</v>
      </c>
      <c r="E72" s="266">
        <v>931</v>
      </c>
      <c r="F72" s="267">
        <v>7673</v>
      </c>
      <c r="G72" s="265" t="s">
        <v>349</v>
      </c>
      <c r="H72" s="265" t="s">
        <v>515</v>
      </c>
      <c r="I72" s="265" t="s">
        <v>427</v>
      </c>
      <c r="J72" s="265" t="s">
        <v>352</v>
      </c>
      <c r="K72" s="265" t="s">
        <v>353</v>
      </c>
      <c r="L72" s="265" t="s">
        <v>354</v>
      </c>
      <c r="M72" s="265" t="s">
        <v>355</v>
      </c>
      <c r="N72" s="265" t="s">
        <v>356</v>
      </c>
      <c r="O72" s="265" t="s">
        <v>382</v>
      </c>
      <c r="P72" s="265" t="s">
        <v>516</v>
      </c>
      <c r="Q72" s="268">
        <v>1</v>
      </c>
      <c r="R72" s="265" t="s">
        <v>517</v>
      </c>
      <c r="S72" s="265" t="s">
        <v>518</v>
      </c>
      <c r="T72" s="265">
        <v>93141501</v>
      </c>
      <c r="U72" s="265" t="s">
        <v>519</v>
      </c>
      <c r="V72" s="266">
        <v>3</v>
      </c>
      <c r="W72" s="266">
        <v>7</v>
      </c>
      <c r="X72" s="266">
        <v>210</v>
      </c>
      <c r="Y72" s="278" t="s">
        <v>362</v>
      </c>
      <c r="Z72" s="269" t="s">
        <v>520</v>
      </c>
      <c r="AA72" s="281">
        <v>1076000000</v>
      </c>
      <c r="AB72" s="270">
        <v>153714285.714286</v>
      </c>
      <c r="AC72" s="269" t="s">
        <v>521</v>
      </c>
      <c r="AD72" s="282" t="s">
        <v>386</v>
      </c>
      <c r="AE72" s="283"/>
      <c r="AF72" s="272"/>
      <c r="AG72" s="274"/>
      <c r="AH72" s="273"/>
      <c r="AI72" s="358">
        <v>0</v>
      </c>
      <c r="AJ72" s="358">
        <v>0</v>
      </c>
      <c r="AK72" s="358">
        <v>0</v>
      </c>
      <c r="AL72" s="358">
        <v>0</v>
      </c>
      <c r="AM72" s="359">
        <v>0</v>
      </c>
      <c r="AN72" s="359">
        <v>153714285.7142857</v>
      </c>
      <c r="AO72" s="359">
        <v>153714285.7142857</v>
      </c>
      <c r="AP72" s="359">
        <v>153714285.7142857</v>
      </c>
      <c r="AQ72" s="359">
        <v>153714285.7142857</v>
      </c>
      <c r="AR72" s="359">
        <v>153714285.7142857</v>
      </c>
      <c r="AS72" s="359">
        <v>153714285.7142857</v>
      </c>
      <c r="AT72" s="359">
        <v>153714285.7142857</v>
      </c>
      <c r="AU72" s="327">
        <f t="shared" ref="AU72:AU75" si="31">SUM(AI72:AT72)</f>
        <v>1076000000</v>
      </c>
      <c r="AV72" s="307">
        <f t="shared" ref="AV72:AV74" si="32">+AU72-AA72</f>
        <v>0</v>
      </c>
      <c r="AW72" s="305"/>
      <c r="AX72" s="305">
        <v>0</v>
      </c>
      <c r="AY72" s="305">
        <v>0</v>
      </c>
      <c r="AZ72" s="305">
        <v>0</v>
      </c>
      <c r="BA72" s="305">
        <f>AU72</f>
        <v>1076000000</v>
      </c>
      <c r="BB72" s="306">
        <f t="shared" ref="BB72:BB75" si="33">SUM(AX72:BA72)</f>
        <v>1076000000</v>
      </c>
    </row>
    <row r="73" spans="1:54" hidden="1">
      <c r="A73" s="231" t="s">
        <v>347</v>
      </c>
      <c r="B73" s="232" t="s">
        <v>348</v>
      </c>
      <c r="C73" s="232" t="s">
        <v>348</v>
      </c>
      <c r="D73" s="232">
        <v>953</v>
      </c>
      <c r="E73" s="232">
        <v>958</v>
      </c>
      <c r="F73" s="234">
        <v>7673</v>
      </c>
      <c r="G73" s="231" t="s">
        <v>349</v>
      </c>
      <c r="H73" s="231" t="s">
        <v>515</v>
      </c>
      <c r="I73" s="231" t="s">
        <v>351</v>
      </c>
      <c r="J73" s="231" t="s">
        <v>352</v>
      </c>
      <c r="K73" s="231" t="s">
        <v>353</v>
      </c>
      <c r="L73" s="231" t="s">
        <v>354</v>
      </c>
      <c r="M73" s="231" t="s">
        <v>355</v>
      </c>
      <c r="N73" s="231" t="s">
        <v>356</v>
      </c>
      <c r="O73" s="231" t="s">
        <v>382</v>
      </c>
      <c r="P73" s="231" t="s">
        <v>516</v>
      </c>
      <c r="Q73" s="235">
        <v>1</v>
      </c>
      <c r="R73" s="231" t="s">
        <v>359</v>
      </c>
      <c r="S73" s="231" t="s">
        <v>360</v>
      </c>
      <c r="T73" s="231">
        <v>80111620</v>
      </c>
      <c r="U73" s="231" t="s">
        <v>522</v>
      </c>
      <c r="V73" s="232">
        <v>1</v>
      </c>
      <c r="W73" s="232">
        <v>1</v>
      </c>
      <c r="X73" s="232">
        <v>330</v>
      </c>
      <c r="Y73" s="252" t="s">
        <v>362</v>
      </c>
      <c r="Z73" s="238" t="s">
        <v>520</v>
      </c>
      <c r="AA73" s="253">
        <v>77000000</v>
      </c>
      <c r="AB73" s="239">
        <v>7000000</v>
      </c>
      <c r="AC73" s="254" t="s">
        <v>523</v>
      </c>
      <c r="AD73" s="254" t="s">
        <v>386</v>
      </c>
      <c r="AE73" s="240"/>
      <c r="AF73" s="241"/>
      <c r="AG73" s="243"/>
      <c r="AH73" s="243"/>
      <c r="AI73" s="357">
        <f t="shared" ref="AI73:AI75" si="34">AB73/30*10</f>
        <v>2333333.3333333335</v>
      </c>
      <c r="AJ73" s="357">
        <f t="shared" ref="AJ73:AJ75" si="35">AB73</f>
        <v>7000000</v>
      </c>
      <c r="AK73" s="357">
        <v>7000000</v>
      </c>
      <c r="AL73" s="357">
        <v>7000000</v>
      </c>
      <c r="AM73" s="329">
        <v>7000000</v>
      </c>
      <c r="AN73" s="329">
        <v>7000000</v>
      </c>
      <c r="AO73" s="329">
        <v>7000000</v>
      </c>
      <c r="AP73" s="329">
        <v>7000000</v>
      </c>
      <c r="AQ73" s="329">
        <v>7000000</v>
      </c>
      <c r="AR73" s="329">
        <v>7000000</v>
      </c>
      <c r="AS73" s="329">
        <v>7000000</v>
      </c>
      <c r="AT73" s="329">
        <f t="shared" ref="AT73:AT75" si="36">AB73/30*20</f>
        <v>4666666.666666667</v>
      </c>
      <c r="AU73" s="326">
        <f t="shared" si="31"/>
        <v>77000000.000000015</v>
      </c>
      <c r="AV73" s="303">
        <f t="shared" si="32"/>
        <v>0</v>
      </c>
      <c r="AX73" s="300">
        <v>0</v>
      </c>
      <c r="AY73" s="300">
        <v>0</v>
      </c>
      <c r="AZ73" s="300">
        <v>0</v>
      </c>
      <c r="BA73" s="300">
        <f>AU73</f>
        <v>77000000.000000015</v>
      </c>
      <c r="BB73" s="299">
        <f t="shared" si="33"/>
        <v>77000000.000000015</v>
      </c>
    </row>
    <row r="74" spans="1:54" hidden="1">
      <c r="A74" s="231" t="s">
        <v>524</v>
      </c>
      <c r="B74" s="232" t="s">
        <v>348</v>
      </c>
      <c r="C74" s="232" t="s">
        <v>348</v>
      </c>
      <c r="D74" s="232"/>
      <c r="E74" s="232">
        <v>959</v>
      </c>
      <c r="F74" s="234">
        <v>7673</v>
      </c>
      <c r="G74" s="231" t="s">
        <v>349</v>
      </c>
      <c r="H74" s="231" t="s">
        <v>515</v>
      </c>
      <c r="I74" s="231" t="s">
        <v>351</v>
      </c>
      <c r="J74" s="231" t="s">
        <v>352</v>
      </c>
      <c r="K74" s="231" t="s">
        <v>353</v>
      </c>
      <c r="L74" s="231" t="s">
        <v>354</v>
      </c>
      <c r="M74" s="231" t="s">
        <v>355</v>
      </c>
      <c r="N74" s="231" t="s">
        <v>356</v>
      </c>
      <c r="O74" s="231" t="s">
        <v>382</v>
      </c>
      <c r="P74" s="231" t="s">
        <v>516</v>
      </c>
      <c r="Q74" s="235">
        <v>1</v>
      </c>
      <c r="R74" s="231" t="s">
        <v>359</v>
      </c>
      <c r="S74" s="231" t="s">
        <v>360</v>
      </c>
      <c r="T74" s="231">
        <v>80111620</v>
      </c>
      <c r="U74" s="231" t="s">
        <v>525</v>
      </c>
      <c r="V74" s="232">
        <v>1</v>
      </c>
      <c r="W74" s="232">
        <v>1</v>
      </c>
      <c r="X74" s="232">
        <v>330</v>
      </c>
      <c r="Y74" s="252" t="s">
        <v>362</v>
      </c>
      <c r="Z74" s="238" t="s">
        <v>520</v>
      </c>
      <c r="AA74" s="253">
        <v>77000000</v>
      </c>
      <c r="AB74" s="239">
        <v>7000000</v>
      </c>
      <c r="AC74" s="254" t="s">
        <v>526</v>
      </c>
      <c r="AD74" s="254" t="s">
        <v>386</v>
      </c>
      <c r="AE74" s="240"/>
      <c r="AF74" s="241"/>
      <c r="AG74" s="243"/>
      <c r="AH74" s="243"/>
      <c r="AI74" s="357">
        <f t="shared" si="34"/>
        <v>2333333.3333333335</v>
      </c>
      <c r="AJ74" s="357">
        <f t="shared" si="35"/>
        <v>7000000</v>
      </c>
      <c r="AK74" s="357">
        <v>7000000</v>
      </c>
      <c r="AL74" s="357">
        <v>7000000</v>
      </c>
      <c r="AM74" s="329">
        <v>7000000</v>
      </c>
      <c r="AN74" s="329">
        <v>7000000</v>
      </c>
      <c r="AO74" s="329">
        <v>7000000</v>
      </c>
      <c r="AP74" s="329">
        <v>7000000</v>
      </c>
      <c r="AQ74" s="329">
        <v>7000000</v>
      </c>
      <c r="AR74" s="329">
        <v>7000000</v>
      </c>
      <c r="AS74" s="329">
        <v>7000000</v>
      </c>
      <c r="AT74" s="329">
        <f t="shared" si="36"/>
        <v>4666666.666666667</v>
      </c>
      <c r="AU74" s="326">
        <f t="shared" si="31"/>
        <v>77000000.000000015</v>
      </c>
      <c r="AV74" s="303">
        <f t="shared" si="32"/>
        <v>0</v>
      </c>
      <c r="AX74" s="300">
        <v>0</v>
      </c>
      <c r="AY74" s="300">
        <v>0</v>
      </c>
      <c r="AZ74" s="300">
        <v>0</v>
      </c>
      <c r="BA74" s="300">
        <f>AU74</f>
        <v>77000000.000000015</v>
      </c>
      <c r="BB74" s="299">
        <f t="shared" si="33"/>
        <v>77000000.000000015</v>
      </c>
    </row>
    <row r="75" spans="1:54">
      <c r="A75" s="255" t="s">
        <v>347</v>
      </c>
      <c r="B75" s="256" t="s">
        <v>348</v>
      </c>
      <c r="C75" s="256" t="s">
        <v>527</v>
      </c>
      <c r="D75" s="256" t="s">
        <v>528</v>
      </c>
      <c r="E75" s="233" t="s">
        <v>529</v>
      </c>
      <c r="F75" s="257">
        <v>7673</v>
      </c>
      <c r="G75" s="255" t="s">
        <v>349</v>
      </c>
      <c r="H75" s="255" t="s">
        <v>530</v>
      </c>
      <c r="I75" s="255" t="s">
        <v>427</v>
      </c>
      <c r="J75" s="255" t="s">
        <v>352</v>
      </c>
      <c r="K75" s="255" t="s">
        <v>353</v>
      </c>
      <c r="L75" s="255" t="s">
        <v>354</v>
      </c>
      <c r="M75" s="255" t="s">
        <v>355</v>
      </c>
      <c r="N75" s="255" t="s">
        <v>356</v>
      </c>
      <c r="O75" s="255" t="s">
        <v>531</v>
      </c>
      <c r="P75" s="255" t="s">
        <v>358</v>
      </c>
      <c r="Q75" s="258">
        <v>0.33</v>
      </c>
      <c r="R75" s="255" t="s">
        <v>532</v>
      </c>
      <c r="S75" s="255" t="s">
        <v>533</v>
      </c>
      <c r="T75" s="259" t="s">
        <v>534</v>
      </c>
      <c r="U75" s="260" t="s">
        <v>535</v>
      </c>
      <c r="V75" s="256" t="s">
        <v>534</v>
      </c>
      <c r="W75" s="256" t="s">
        <v>534</v>
      </c>
      <c r="X75" s="256" t="s">
        <v>534</v>
      </c>
      <c r="Y75" s="255" t="s">
        <v>536</v>
      </c>
      <c r="Z75" s="261" t="s">
        <v>537</v>
      </c>
      <c r="AA75" s="387">
        <f>150000000*33%</f>
        <v>49500000</v>
      </c>
      <c r="AB75" s="263"/>
      <c r="AC75" s="264"/>
      <c r="AD75" s="264" t="s">
        <v>538</v>
      </c>
      <c r="AE75" s="244"/>
      <c r="AF75" s="241"/>
      <c r="AG75" s="244"/>
      <c r="AH75" s="302"/>
      <c r="AI75" s="357">
        <f t="shared" si="34"/>
        <v>0</v>
      </c>
      <c r="AJ75" s="357">
        <f t="shared" si="35"/>
        <v>0</v>
      </c>
      <c r="AK75" s="365">
        <v>0</v>
      </c>
      <c r="AL75" s="365">
        <v>0</v>
      </c>
      <c r="AM75" s="329">
        <v>0</v>
      </c>
      <c r="AN75" s="329">
        <f>50000000*33%</f>
        <v>16500000</v>
      </c>
      <c r="AO75" s="329">
        <v>0</v>
      </c>
      <c r="AP75" s="329">
        <f>50000000*33%</f>
        <v>16500000</v>
      </c>
      <c r="AQ75" s="329">
        <v>0</v>
      </c>
      <c r="AR75" s="329">
        <f>50000000*33%</f>
        <v>16500000</v>
      </c>
      <c r="AS75" s="329">
        <v>0</v>
      </c>
      <c r="AT75" s="329">
        <f t="shared" si="36"/>
        <v>0</v>
      </c>
      <c r="AU75" s="326">
        <f t="shared" si="31"/>
        <v>49500000</v>
      </c>
      <c r="AV75" s="303">
        <f>+AU75-AA75</f>
        <v>0</v>
      </c>
      <c r="AX75" s="300">
        <f>AU75*33%</f>
        <v>16335000</v>
      </c>
      <c r="AY75" s="300">
        <v>0</v>
      </c>
      <c r="AZ75" s="300">
        <f>AU75*67%</f>
        <v>33165000.000000004</v>
      </c>
      <c r="BA75" s="300">
        <v>0</v>
      </c>
      <c r="BB75" s="299">
        <f t="shared" si="33"/>
        <v>49500000</v>
      </c>
    </row>
    <row r="76" spans="1:54" hidden="1">
      <c r="A76" s="255" t="s">
        <v>347</v>
      </c>
      <c r="B76" s="256" t="s">
        <v>348</v>
      </c>
      <c r="C76" s="256" t="s">
        <v>527</v>
      </c>
      <c r="D76" s="256" t="s">
        <v>528</v>
      </c>
      <c r="E76" s="233" t="s">
        <v>529</v>
      </c>
      <c r="F76" s="257">
        <v>7673</v>
      </c>
      <c r="G76" s="255" t="s">
        <v>349</v>
      </c>
      <c r="H76" s="255" t="s">
        <v>530</v>
      </c>
      <c r="I76" s="255" t="s">
        <v>427</v>
      </c>
      <c r="J76" s="255" t="s">
        <v>352</v>
      </c>
      <c r="K76" s="255" t="s">
        <v>353</v>
      </c>
      <c r="L76" s="255" t="s">
        <v>354</v>
      </c>
      <c r="M76" s="255" t="s">
        <v>355</v>
      </c>
      <c r="N76" s="255" t="s">
        <v>356</v>
      </c>
      <c r="O76" s="255" t="s">
        <v>531</v>
      </c>
      <c r="P76" s="255" t="s">
        <v>383</v>
      </c>
      <c r="Q76" s="258">
        <v>0.67</v>
      </c>
      <c r="R76" s="255" t="s">
        <v>532</v>
      </c>
      <c r="S76" s="255" t="s">
        <v>533</v>
      </c>
      <c r="T76" s="259" t="s">
        <v>534</v>
      </c>
      <c r="U76" s="260" t="s">
        <v>535</v>
      </c>
      <c r="V76" s="256" t="s">
        <v>534</v>
      </c>
      <c r="W76" s="256" t="s">
        <v>534</v>
      </c>
      <c r="X76" s="256" t="s">
        <v>534</v>
      </c>
      <c r="Y76" s="255" t="s">
        <v>536</v>
      </c>
      <c r="Z76" s="261" t="s">
        <v>537</v>
      </c>
      <c r="AA76" s="262">
        <f>150000000*67%</f>
        <v>100500000</v>
      </c>
      <c r="AB76" s="263"/>
      <c r="AC76" s="264"/>
      <c r="AD76" s="264" t="s">
        <v>538</v>
      </c>
      <c r="AE76" s="244"/>
      <c r="AF76" s="241"/>
      <c r="AG76" s="244"/>
      <c r="AH76" s="244"/>
      <c r="AI76" s="357">
        <f t="shared" ref="AI76" si="37">AB76/30*10</f>
        <v>0</v>
      </c>
      <c r="AJ76" s="357">
        <f t="shared" ref="AJ76" si="38">AB76</f>
        <v>0</v>
      </c>
      <c r="AK76" s="365">
        <v>0</v>
      </c>
      <c r="AL76" s="365">
        <v>0</v>
      </c>
      <c r="AM76" s="329">
        <v>0</v>
      </c>
      <c r="AN76" s="329">
        <f>50000000*67%</f>
        <v>33500000.000000004</v>
      </c>
      <c r="AO76" s="329">
        <v>0</v>
      </c>
      <c r="AP76" s="329">
        <f>50000000*67%</f>
        <v>33500000.000000004</v>
      </c>
      <c r="AQ76" s="329">
        <v>0</v>
      </c>
      <c r="AR76" s="329">
        <f>50000000*67%</f>
        <v>33500000.000000004</v>
      </c>
      <c r="AS76" s="329">
        <v>0</v>
      </c>
      <c r="AT76" s="329">
        <f t="shared" ref="AT76" si="39">AB76/30*20</f>
        <v>0</v>
      </c>
      <c r="AU76" s="326">
        <f t="shared" ref="AU76:AU77" si="40">SUM(AI76:AT76)</f>
        <v>100500000.00000001</v>
      </c>
      <c r="AV76" s="303">
        <f>+AU76-AA76</f>
        <v>0</v>
      </c>
      <c r="AX76" s="300">
        <f>AU76*33%</f>
        <v>33165000.000000007</v>
      </c>
      <c r="AY76" s="300">
        <v>0</v>
      </c>
      <c r="AZ76" s="300">
        <f>AU76*67%</f>
        <v>67335000.000000015</v>
      </c>
      <c r="BA76" s="300">
        <v>0</v>
      </c>
      <c r="BB76" s="299">
        <f t="shared" ref="BB76:BB77" si="41">SUM(AX76:BA76)</f>
        <v>100500000.00000003</v>
      </c>
    </row>
    <row r="77" spans="1:54" s="284" customFormat="1" hidden="1">
      <c r="A77"/>
      <c r="B77"/>
      <c r="C77"/>
      <c r="D77"/>
      <c r="E77"/>
      <c r="F77"/>
      <c r="G77"/>
      <c r="H77"/>
      <c r="I77"/>
      <c r="J77"/>
      <c r="K77"/>
      <c r="L77"/>
      <c r="M77"/>
      <c r="N77"/>
      <c r="O77"/>
      <c r="P77" s="255" t="s">
        <v>358</v>
      </c>
      <c r="Q77" s="353">
        <v>1</v>
      </c>
      <c r="R77"/>
      <c r="S77"/>
      <c r="T77"/>
      <c r="U77"/>
      <c r="V77"/>
      <c r="W77"/>
      <c r="X77"/>
      <c r="Y77"/>
      <c r="Z77"/>
      <c r="AA77" s="388">
        <v>14783248</v>
      </c>
      <c r="AC77" s="354" t="s">
        <v>539</v>
      </c>
      <c r="AD77"/>
      <c r="AE77"/>
      <c r="AF77"/>
      <c r="AG77"/>
      <c r="AH77"/>
      <c r="AI77" s="329">
        <v>0</v>
      </c>
      <c r="AJ77" s="329">
        <v>0</v>
      </c>
      <c r="AK77" s="329">
        <v>0</v>
      </c>
      <c r="AL77" s="329">
        <v>0</v>
      </c>
      <c r="AM77" s="329">
        <v>0</v>
      </c>
      <c r="AN77" s="329">
        <v>0</v>
      </c>
      <c r="AO77" s="329">
        <v>0</v>
      </c>
      <c r="AP77" s="329">
        <v>0</v>
      </c>
      <c r="AQ77" s="329">
        <v>14783248</v>
      </c>
      <c r="AR77" s="329">
        <v>0</v>
      </c>
      <c r="AS77" s="329">
        <v>0</v>
      </c>
      <c r="AT77" s="329">
        <v>0</v>
      </c>
      <c r="AU77" s="326">
        <f t="shared" si="40"/>
        <v>14783248</v>
      </c>
      <c r="AV77" s="299"/>
      <c r="AW77" s="299"/>
      <c r="AX77" s="329">
        <f>+AU77</f>
        <v>14783248</v>
      </c>
      <c r="AY77" s="300">
        <v>0</v>
      </c>
      <c r="AZ77" s="300">
        <v>0</v>
      </c>
      <c r="BA77" s="300">
        <v>0</v>
      </c>
      <c r="BB77" s="299">
        <f t="shared" si="41"/>
        <v>14783248</v>
      </c>
    </row>
    <row r="78" spans="1:54" s="284" customFormat="1" hidden="1">
      <c r="A78"/>
      <c r="B78"/>
      <c r="C78"/>
      <c r="D78"/>
      <c r="E78"/>
      <c r="F78"/>
      <c r="G78"/>
      <c r="H78"/>
      <c r="I78"/>
      <c r="J78"/>
      <c r="K78"/>
      <c r="L78"/>
      <c r="M78"/>
      <c r="N78"/>
      <c r="O78"/>
      <c r="P78" s="356"/>
      <c r="Q78" s="353"/>
      <c r="R78"/>
      <c r="S78"/>
      <c r="T78"/>
      <c r="U78"/>
      <c r="V78"/>
      <c r="W78"/>
      <c r="X78"/>
      <c r="Y78"/>
      <c r="Z78"/>
      <c r="AA78" s="355">
        <f>SUM(AA2:AA77)</f>
        <v>5425259000</v>
      </c>
      <c r="AC78" s="354"/>
      <c r="AD78"/>
      <c r="AE78"/>
      <c r="AF78"/>
      <c r="AG78"/>
      <c r="AH78"/>
      <c r="AI78" s="369">
        <f>SUM(AI2:AI77)</f>
        <v>144889000.00000006</v>
      </c>
      <c r="AJ78" s="369">
        <f t="shared" ref="AJ78:AT78" si="42">SUM(AJ2:AJ77)</f>
        <v>316828333.33333337</v>
      </c>
      <c r="AK78" s="369">
        <f t="shared" si="42"/>
        <v>316828333.33333337</v>
      </c>
      <c r="AL78" s="369">
        <f t="shared" si="42"/>
        <v>316828333.33333337</v>
      </c>
      <c r="AM78" s="369">
        <f t="shared" si="42"/>
        <v>317515833.33333337</v>
      </c>
      <c r="AN78" s="369">
        <f t="shared" si="42"/>
        <v>552017333.33333337</v>
      </c>
      <c r="AO78" s="369">
        <f t="shared" si="42"/>
        <v>507109000</v>
      </c>
      <c r="AP78" s="369">
        <f t="shared" si="42"/>
        <v>631013600</v>
      </c>
      <c r="AQ78" s="369">
        <f t="shared" si="42"/>
        <v>521892248</v>
      </c>
      <c r="AR78" s="369">
        <f t="shared" si="42"/>
        <v>705145826</v>
      </c>
      <c r="AS78" s="369">
        <f t="shared" si="42"/>
        <v>605256376</v>
      </c>
      <c r="AT78" s="369">
        <f t="shared" si="42"/>
        <v>489934783.33333349</v>
      </c>
      <c r="AU78" s="369">
        <f>SUM(AI78:AT78)</f>
        <v>5425259000</v>
      </c>
      <c r="AV78" s="299"/>
      <c r="AW78" s="299"/>
      <c r="AX78" s="300"/>
      <c r="AY78" s="300"/>
      <c r="AZ78" s="300"/>
      <c r="BA78" s="300"/>
      <c r="BB78" s="332">
        <f>SUM(BB2:BB77)</f>
        <v>5425259000</v>
      </c>
    </row>
    <row r="79" spans="1:54">
      <c r="AI79" s="370" t="s">
        <v>330</v>
      </c>
      <c r="AJ79" s="370" t="s">
        <v>331</v>
      </c>
      <c r="AK79" s="370" t="s">
        <v>332</v>
      </c>
      <c r="AL79" s="370" t="s">
        <v>333</v>
      </c>
      <c r="AM79" s="370" t="s">
        <v>334</v>
      </c>
      <c r="AN79" s="370" t="s">
        <v>335</v>
      </c>
      <c r="AO79" s="370" t="s">
        <v>336</v>
      </c>
      <c r="AP79" s="370" t="s">
        <v>337</v>
      </c>
      <c r="AQ79" s="370" t="s">
        <v>338</v>
      </c>
      <c r="AR79" s="370" t="s">
        <v>339</v>
      </c>
      <c r="AS79" s="370" t="s">
        <v>340</v>
      </c>
      <c r="AT79" s="370" t="s">
        <v>341</v>
      </c>
      <c r="AU79" s="369"/>
    </row>
    <row r="80" spans="1:54">
      <c r="AH80" s="300" t="s">
        <v>343</v>
      </c>
      <c r="AI80" s="325">
        <f>+AI2+AI3+AI4+AI5+AI6+AI7+AI8+AI9+AI10+AI11+AI12+AI13+AI14+AI15+AI16+AI17+AI18+AI19+AI20+AI21+AI22+AI23+AI24+AI25+AI26+AI27+AI28+AI29+AI30+AI31+AI53+AI54+AI56+AI57+AI59+AI61+AI63+AI64+AI65+AI67+AI69+AI71+AI75+AI77</f>
        <v>93098268.096666679</v>
      </c>
      <c r="AJ80" s="325">
        <f t="shared" ref="AJ80:AT80" si="43">+AJ2+AJ3+AJ4+AJ5+AJ6+AJ7+AJ8+AJ9+AJ10+AJ11+AJ12+AJ13+AJ14+AJ15+AJ16+AJ17+AJ18+AJ19+AJ20+AJ21+AJ22+AJ23+AJ24+AJ25+AJ26+AJ27+AJ28+AJ29+AJ30+AJ31+AJ53+AJ54+AJ56+AJ57+AJ59+AJ61+AJ63+AJ64+AJ65+AJ67+AJ69+AJ71+AJ75+AJ77</f>
        <v>167652934.76333335</v>
      </c>
      <c r="AK80" s="325">
        <f t="shared" si="43"/>
        <v>167652934.76333335</v>
      </c>
      <c r="AL80" s="325">
        <f t="shared" si="43"/>
        <v>167652934.76333335</v>
      </c>
      <c r="AM80" s="325">
        <f t="shared" si="43"/>
        <v>168278559.76333335</v>
      </c>
      <c r="AN80" s="325">
        <f t="shared" si="43"/>
        <v>213550774.04904768</v>
      </c>
      <c r="AO80" s="325">
        <f t="shared" si="43"/>
        <v>202142440.71571437</v>
      </c>
      <c r="AP80" s="325">
        <f t="shared" si="43"/>
        <v>218642440.71571437</v>
      </c>
      <c r="AQ80" s="325">
        <f t="shared" si="43"/>
        <v>216925688.71571437</v>
      </c>
      <c r="AR80" s="325">
        <f t="shared" si="43"/>
        <v>311250816.71571434</v>
      </c>
      <c r="AS80" s="325">
        <f t="shared" si="43"/>
        <v>300289816.71571434</v>
      </c>
      <c r="AT80" s="325">
        <f t="shared" si="43"/>
        <v>174733177.38238099</v>
      </c>
      <c r="AU80" s="328">
        <f>SUM(AI80:AT80)</f>
        <v>2401870787.1600008</v>
      </c>
      <c r="AV80" s="325">
        <v>2501937000</v>
      </c>
      <c r="AW80" s="330">
        <f>+AV80-AU80</f>
        <v>100066212.8399992</v>
      </c>
      <c r="AX80" s="325"/>
      <c r="AY80" s="325"/>
    </row>
    <row r="81" spans="1:51">
      <c r="AA81" s="368">
        <f>SUM(AA2:AA52)+AA73+AA74</f>
        <v>2997679000</v>
      </c>
      <c r="AH81" s="300" t="s">
        <v>344</v>
      </c>
      <c r="AI81" s="325">
        <f>+AI55</f>
        <v>0</v>
      </c>
      <c r="AJ81" s="325">
        <f t="shared" ref="AJ81:AT81" si="44">+AJ55</f>
        <v>0</v>
      </c>
      <c r="AK81" s="325">
        <f t="shared" si="44"/>
        <v>0</v>
      </c>
      <c r="AL81" s="325">
        <f t="shared" si="44"/>
        <v>0</v>
      </c>
      <c r="AM81" s="325">
        <f t="shared" si="44"/>
        <v>0</v>
      </c>
      <c r="AN81" s="325">
        <f t="shared" si="44"/>
        <v>0</v>
      </c>
      <c r="AO81" s="325">
        <f t="shared" si="44"/>
        <v>0</v>
      </c>
      <c r="AP81" s="325">
        <f t="shared" si="44"/>
        <v>73904600</v>
      </c>
      <c r="AQ81" s="325">
        <f t="shared" si="44"/>
        <v>0</v>
      </c>
      <c r="AR81" s="325">
        <f t="shared" si="44"/>
        <v>55428450</v>
      </c>
      <c r="AS81" s="325">
        <f t="shared" si="44"/>
        <v>0</v>
      </c>
      <c r="AT81" s="325">
        <f t="shared" si="44"/>
        <v>55428450</v>
      </c>
      <c r="AU81" s="328">
        <f t="shared" ref="AU81:AU83" si="45">SUM(AI81:AT81)</f>
        <v>184761500</v>
      </c>
      <c r="AV81" s="325">
        <v>184762000</v>
      </c>
      <c r="AW81" s="330">
        <f>+AV81-AU81</f>
        <v>500</v>
      </c>
      <c r="AX81" s="325"/>
      <c r="AY81" s="325"/>
    </row>
    <row r="82" spans="1:51">
      <c r="AH82" s="300" t="s">
        <v>345</v>
      </c>
      <c r="AI82" s="325">
        <f>+AI32+AI33+AI34+AI35+AI36+AI37+AI38+AI39+AI40+AI41+AI42+AI43+AI44+AI45+AI46+AI47+AI48+AI49+AI50+AI51+AI52+AI58+AI60+AI62+AI66+AI68+AI70+AI76</f>
        <v>47124065.236666664</v>
      </c>
      <c r="AJ82" s="325">
        <f t="shared" ref="AJ82:AT82" si="46">+AJ32+AJ33+AJ34+AJ35+AJ36+AJ37+AJ38+AJ39+AJ40+AJ41+AJ42+AJ43+AJ44+AJ45+AJ46+AJ47+AJ48+AJ49+AJ50+AJ51+AJ52+AJ58+AJ60+AJ62+AJ66+AJ68+AJ70+AJ76</f>
        <v>135175398.56999999</v>
      </c>
      <c r="AK82" s="325">
        <f t="shared" si="46"/>
        <v>135175398.56999999</v>
      </c>
      <c r="AL82" s="325">
        <f t="shared" si="46"/>
        <v>135175398.56999999</v>
      </c>
      <c r="AM82" s="325">
        <f t="shared" si="46"/>
        <v>135237273.56999999</v>
      </c>
      <c r="AN82" s="325">
        <f t="shared" si="46"/>
        <v>170752273.56999999</v>
      </c>
      <c r="AO82" s="325">
        <f t="shared" si="46"/>
        <v>137252273.56999999</v>
      </c>
      <c r="AP82" s="325">
        <f t="shared" si="46"/>
        <v>170752273.56999999</v>
      </c>
      <c r="AQ82" s="325">
        <f t="shared" si="46"/>
        <v>137252273.56999999</v>
      </c>
      <c r="AR82" s="325">
        <f t="shared" si="46"/>
        <v>170752273.56999999</v>
      </c>
      <c r="AS82" s="325">
        <f t="shared" si="46"/>
        <v>137252273.56999999</v>
      </c>
      <c r="AT82" s="325">
        <f t="shared" si="46"/>
        <v>96725536.903333321</v>
      </c>
      <c r="AU82" s="328">
        <f t="shared" si="45"/>
        <v>1608626712.8399997</v>
      </c>
      <c r="AV82" s="325">
        <v>1508560000</v>
      </c>
      <c r="AW82" s="330">
        <f>+AV82-AU82</f>
        <v>-100066712.83999968</v>
      </c>
      <c r="AX82" s="325"/>
      <c r="AY82" s="325"/>
    </row>
    <row r="83" spans="1:51">
      <c r="AH83" s="300" t="s">
        <v>346</v>
      </c>
      <c r="AI83" s="325">
        <f>+AI72+AI73+AI74</f>
        <v>4666666.666666667</v>
      </c>
      <c r="AJ83" s="325">
        <f t="shared" ref="AJ83:AT83" si="47">+AJ72+AJ73+AJ74</f>
        <v>14000000</v>
      </c>
      <c r="AK83" s="325">
        <f t="shared" si="47"/>
        <v>14000000</v>
      </c>
      <c r="AL83" s="325">
        <f t="shared" si="47"/>
        <v>14000000</v>
      </c>
      <c r="AM83" s="325">
        <f t="shared" si="47"/>
        <v>14000000</v>
      </c>
      <c r="AN83" s="325">
        <f t="shared" si="47"/>
        <v>167714285.7142857</v>
      </c>
      <c r="AO83" s="325">
        <f t="shared" si="47"/>
        <v>167714285.7142857</v>
      </c>
      <c r="AP83" s="325">
        <f t="shared" si="47"/>
        <v>167714285.7142857</v>
      </c>
      <c r="AQ83" s="325">
        <f t="shared" si="47"/>
        <v>167714285.7142857</v>
      </c>
      <c r="AR83" s="325">
        <f t="shared" si="47"/>
        <v>167714285.7142857</v>
      </c>
      <c r="AS83" s="325">
        <f t="shared" si="47"/>
        <v>167714285.7142857</v>
      </c>
      <c r="AT83" s="325">
        <f t="shared" si="47"/>
        <v>163047619.04761901</v>
      </c>
      <c r="AU83" s="328">
        <f t="shared" si="45"/>
        <v>1230000000</v>
      </c>
      <c r="AV83" s="325">
        <v>1230000000</v>
      </c>
      <c r="AW83" s="330">
        <f>+AV83-AU83</f>
        <v>0</v>
      </c>
      <c r="AX83" s="325"/>
      <c r="AY83" s="325"/>
    </row>
    <row r="85" spans="1:51">
      <c r="A85" s="395" t="s">
        <v>540</v>
      </c>
      <c r="B85" s="396" t="s">
        <v>541</v>
      </c>
      <c r="C85" s="396" t="s">
        <v>542</v>
      </c>
      <c r="D85" s="396" t="s">
        <v>543</v>
      </c>
      <c r="E85" s="396" t="s">
        <v>544</v>
      </c>
      <c r="F85" s="396" t="s">
        <v>545</v>
      </c>
      <c r="G85" s="396" t="s">
        <v>324</v>
      </c>
      <c r="H85" s="396" t="s">
        <v>325</v>
      </c>
      <c r="I85" s="396" t="s">
        <v>546</v>
      </c>
      <c r="J85" s="396" t="s">
        <v>547</v>
      </c>
      <c r="K85" s="397"/>
    </row>
    <row r="86" spans="1:51">
      <c r="A86" s="398" t="s">
        <v>548</v>
      </c>
      <c r="B86" s="398" t="s">
        <v>549</v>
      </c>
      <c r="C86" s="398" t="s">
        <v>550</v>
      </c>
      <c r="D86" s="398" t="s">
        <v>551</v>
      </c>
      <c r="E86" s="398" t="s">
        <v>552</v>
      </c>
      <c r="F86" s="398" t="s">
        <v>553</v>
      </c>
      <c r="G86" s="398" t="s">
        <v>554</v>
      </c>
      <c r="H86" s="398" t="s">
        <v>555</v>
      </c>
      <c r="I86" s="399">
        <v>73200000</v>
      </c>
      <c r="J86" s="399">
        <v>73200000</v>
      </c>
      <c r="K86" s="397"/>
    </row>
    <row r="87" spans="1:51">
      <c r="A87" s="398" t="s">
        <v>436</v>
      </c>
      <c r="B87" s="398" t="s">
        <v>556</v>
      </c>
      <c r="C87" s="398" t="s">
        <v>550</v>
      </c>
      <c r="D87" s="398" t="s">
        <v>551</v>
      </c>
      <c r="E87" s="398" t="s">
        <v>557</v>
      </c>
      <c r="F87" s="398" t="s">
        <v>553</v>
      </c>
      <c r="G87" s="398" t="s">
        <v>558</v>
      </c>
      <c r="H87" s="398" t="s">
        <v>555</v>
      </c>
      <c r="I87" s="399">
        <v>87226500</v>
      </c>
      <c r="J87" s="399">
        <v>87226500</v>
      </c>
      <c r="K87" s="397"/>
    </row>
    <row r="88" spans="1:51">
      <c r="A88" s="398" t="s">
        <v>559</v>
      </c>
      <c r="B88" s="398" t="s">
        <v>560</v>
      </c>
      <c r="C88" s="398" t="s">
        <v>561</v>
      </c>
      <c r="D88" s="398" t="s">
        <v>561</v>
      </c>
      <c r="E88" s="398" t="s">
        <v>562</v>
      </c>
      <c r="F88" s="398" t="s">
        <v>553</v>
      </c>
      <c r="G88" s="398" t="s">
        <v>563</v>
      </c>
      <c r="H88" s="398" t="s">
        <v>555</v>
      </c>
      <c r="I88" s="399">
        <v>1240568013</v>
      </c>
      <c r="J88" s="399">
        <v>1240568013</v>
      </c>
      <c r="K88" s="397"/>
    </row>
    <row r="89" spans="1:51">
      <c r="A89" s="398" t="s">
        <v>453</v>
      </c>
      <c r="B89" s="398" t="s">
        <v>564</v>
      </c>
      <c r="C89" s="398" t="s">
        <v>332</v>
      </c>
      <c r="D89" s="398" t="s">
        <v>561</v>
      </c>
      <c r="E89" s="398" t="s">
        <v>565</v>
      </c>
      <c r="F89" s="398" t="s">
        <v>553</v>
      </c>
      <c r="G89" s="398" t="s">
        <v>558</v>
      </c>
      <c r="H89" s="398" t="s">
        <v>555</v>
      </c>
      <c r="I89" s="399">
        <v>176753000</v>
      </c>
      <c r="J89" s="399">
        <v>176753000</v>
      </c>
      <c r="K89" s="397"/>
    </row>
    <row r="90" spans="1:51">
      <c r="A90" s="398" t="s">
        <v>566</v>
      </c>
      <c r="B90" s="398" t="s">
        <v>567</v>
      </c>
      <c r="C90" s="398" t="s">
        <v>551</v>
      </c>
      <c r="D90" s="398" t="s">
        <v>561</v>
      </c>
      <c r="E90" s="398" t="s">
        <v>557</v>
      </c>
      <c r="F90" s="398" t="s">
        <v>553</v>
      </c>
      <c r="G90" s="398" t="s">
        <v>563</v>
      </c>
      <c r="H90" s="398" t="s">
        <v>555</v>
      </c>
      <c r="I90" s="399">
        <v>1214626088</v>
      </c>
      <c r="J90" s="399">
        <v>1214626088</v>
      </c>
      <c r="K90" s="397"/>
    </row>
    <row r="91" spans="1:51">
      <c r="A91" s="398" t="s">
        <v>470</v>
      </c>
      <c r="B91" s="398" t="s">
        <v>568</v>
      </c>
      <c r="C91" s="398" t="s">
        <v>550</v>
      </c>
      <c r="D91" s="398" t="s">
        <v>550</v>
      </c>
      <c r="E91" s="398" t="s">
        <v>562</v>
      </c>
      <c r="F91" s="398" t="s">
        <v>553</v>
      </c>
      <c r="G91" s="398" t="s">
        <v>554</v>
      </c>
      <c r="H91" s="398" t="s">
        <v>555</v>
      </c>
      <c r="I91" s="399">
        <v>16072165</v>
      </c>
      <c r="J91" s="399">
        <v>16072165</v>
      </c>
      <c r="K91" s="397"/>
    </row>
    <row r="92" spans="1:51">
      <c r="A92" s="398" t="s">
        <v>569</v>
      </c>
      <c r="B92" s="398" t="s">
        <v>570</v>
      </c>
      <c r="C92" s="398" t="s">
        <v>561</v>
      </c>
      <c r="D92" s="398" t="s">
        <v>561</v>
      </c>
      <c r="E92" s="398" t="s">
        <v>562</v>
      </c>
      <c r="F92" s="398" t="s">
        <v>553</v>
      </c>
      <c r="G92" s="398" t="s">
        <v>558</v>
      </c>
      <c r="H92" s="398" t="s">
        <v>555</v>
      </c>
      <c r="I92" s="399">
        <v>50181055</v>
      </c>
      <c r="J92" s="399">
        <v>50181055</v>
      </c>
      <c r="K92" s="397"/>
    </row>
    <row r="93" spans="1:51">
      <c r="A93" s="398" t="s">
        <v>482</v>
      </c>
      <c r="B93" s="398" t="s">
        <v>571</v>
      </c>
      <c r="C93" s="398" t="s">
        <v>561</v>
      </c>
      <c r="D93" s="398" t="s">
        <v>561</v>
      </c>
      <c r="E93" s="398" t="s">
        <v>562</v>
      </c>
      <c r="F93" s="398" t="s">
        <v>553</v>
      </c>
      <c r="G93" s="398" t="s">
        <v>554</v>
      </c>
      <c r="H93" s="398" t="s">
        <v>555</v>
      </c>
      <c r="I93" s="399">
        <v>1376964398</v>
      </c>
      <c r="J93" s="399">
        <v>1376964398</v>
      </c>
      <c r="K93" s="397"/>
    </row>
    <row r="94" spans="1:51">
      <c r="A94" s="398" t="s">
        <v>489</v>
      </c>
      <c r="B94" s="398" t="s">
        <v>572</v>
      </c>
      <c r="C94" s="398" t="s">
        <v>551</v>
      </c>
      <c r="D94" s="398" t="s">
        <v>332</v>
      </c>
      <c r="E94" s="398" t="s">
        <v>573</v>
      </c>
      <c r="F94" s="398" t="s">
        <v>553</v>
      </c>
      <c r="G94" s="398" t="s">
        <v>558</v>
      </c>
      <c r="H94" s="398" t="s">
        <v>555</v>
      </c>
      <c r="I94" s="399">
        <v>24402000</v>
      </c>
      <c r="J94" s="399">
        <v>24402000</v>
      </c>
      <c r="K94" s="397"/>
    </row>
    <row r="95" spans="1:51">
      <c r="A95" s="398" t="s">
        <v>574</v>
      </c>
      <c r="B95" s="398" t="s">
        <v>575</v>
      </c>
      <c r="C95" s="398" t="s">
        <v>561</v>
      </c>
      <c r="D95" s="398" t="s">
        <v>576</v>
      </c>
      <c r="E95" s="398" t="s">
        <v>557</v>
      </c>
      <c r="F95" s="398" t="s">
        <v>553</v>
      </c>
      <c r="G95" s="398" t="s">
        <v>563</v>
      </c>
      <c r="H95" s="398" t="s">
        <v>555</v>
      </c>
      <c r="I95" s="399">
        <v>490322584</v>
      </c>
      <c r="J95" s="399">
        <v>490322584</v>
      </c>
      <c r="K95" s="397"/>
    </row>
    <row r="96" spans="1:51">
      <c r="A96" s="398" t="s">
        <v>505</v>
      </c>
      <c r="B96" s="398" t="s">
        <v>577</v>
      </c>
      <c r="C96" s="398" t="s">
        <v>550</v>
      </c>
      <c r="D96" s="398" t="s">
        <v>550</v>
      </c>
      <c r="E96" s="398" t="s">
        <v>578</v>
      </c>
      <c r="F96" s="398" t="s">
        <v>553</v>
      </c>
      <c r="G96" s="398" t="s">
        <v>554</v>
      </c>
      <c r="H96" s="398" t="s">
        <v>555</v>
      </c>
      <c r="I96" s="399">
        <v>1002549647</v>
      </c>
      <c r="J96" s="399">
        <v>1002549647</v>
      </c>
      <c r="K96" s="397"/>
    </row>
    <row r="97" spans="1:11">
      <c r="A97" s="398" t="s">
        <v>512</v>
      </c>
      <c r="B97" s="398" t="s">
        <v>579</v>
      </c>
      <c r="C97" s="398" t="s">
        <v>580</v>
      </c>
      <c r="D97" s="398" t="s">
        <v>580</v>
      </c>
      <c r="E97" s="398" t="s">
        <v>562</v>
      </c>
      <c r="F97" s="398" t="s">
        <v>553</v>
      </c>
      <c r="G97" s="398" t="s">
        <v>554</v>
      </c>
      <c r="H97" s="398" t="s">
        <v>555</v>
      </c>
      <c r="I97" s="399">
        <v>111567387</v>
      </c>
      <c r="J97" s="399">
        <v>111567387</v>
      </c>
      <c r="K97" s="397"/>
    </row>
    <row r="98" spans="1:11">
      <c r="A98" s="398" t="s">
        <v>581</v>
      </c>
      <c r="B98" s="398" t="s">
        <v>582</v>
      </c>
      <c r="C98" s="398" t="s">
        <v>551</v>
      </c>
      <c r="D98" s="398" t="s">
        <v>561</v>
      </c>
      <c r="E98" s="398" t="s">
        <v>583</v>
      </c>
      <c r="F98" s="398" t="s">
        <v>553</v>
      </c>
      <c r="G98" s="398" t="s">
        <v>563</v>
      </c>
      <c r="H98" s="398" t="s">
        <v>555</v>
      </c>
      <c r="I98" s="399">
        <v>157760500</v>
      </c>
      <c r="J98" s="399">
        <v>157760500</v>
      </c>
      <c r="K98" s="397"/>
    </row>
    <row r="99" spans="1:11">
      <c r="A99" s="398" t="s">
        <v>584</v>
      </c>
      <c r="B99" s="398" t="s">
        <v>585</v>
      </c>
      <c r="C99" s="398" t="s">
        <v>551</v>
      </c>
      <c r="D99" s="398" t="s">
        <v>561</v>
      </c>
      <c r="E99" s="398" t="s">
        <v>562</v>
      </c>
      <c r="F99" s="398" t="s">
        <v>553</v>
      </c>
      <c r="G99" s="398" t="s">
        <v>558</v>
      </c>
      <c r="H99" s="398" t="s">
        <v>555</v>
      </c>
      <c r="I99" s="399">
        <v>92608376</v>
      </c>
      <c r="J99" s="399">
        <v>92608376</v>
      </c>
      <c r="K99" s="397"/>
    </row>
    <row r="100" spans="1:11">
      <c r="A100" s="398" t="s">
        <v>586</v>
      </c>
      <c r="B100" s="398" t="s">
        <v>587</v>
      </c>
      <c r="C100" s="398" t="s">
        <v>332</v>
      </c>
      <c r="D100" s="398" t="s">
        <v>561</v>
      </c>
      <c r="E100" s="398" t="s">
        <v>573</v>
      </c>
      <c r="F100" s="398" t="s">
        <v>553</v>
      </c>
      <c r="G100" s="398" t="s">
        <v>588</v>
      </c>
      <c r="H100" s="398" t="s">
        <v>555</v>
      </c>
      <c r="I100" s="399">
        <v>184761500</v>
      </c>
      <c r="J100" s="399">
        <v>184761500</v>
      </c>
      <c r="K100" s="397"/>
    </row>
    <row r="101" spans="1:11">
      <c r="A101" s="397"/>
      <c r="B101" s="397"/>
      <c r="C101" s="397"/>
      <c r="D101" s="397"/>
      <c r="E101" s="397"/>
      <c r="F101" s="397"/>
      <c r="G101" s="397"/>
      <c r="H101" s="397"/>
      <c r="I101" s="397"/>
      <c r="J101" s="397"/>
      <c r="K101" s="397"/>
    </row>
    <row r="102" spans="1:11">
      <c r="A102" s="397"/>
      <c r="B102" s="397"/>
      <c r="C102" s="397"/>
      <c r="D102" s="397"/>
      <c r="E102" s="397"/>
      <c r="F102" s="397"/>
      <c r="G102" s="397"/>
      <c r="H102" s="397"/>
      <c r="I102" s="397"/>
      <c r="J102" s="397"/>
      <c r="K102" s="397"/>
    </row>
    <row r="103" spans="1:11">
      <c r="A103" s="397"/>
      <c r="B103" s="397"/>
      <c r="C103" s="397"/>
      <c r="D103" s="397"/>
      <c r="E103" s="397"/>
      <c r="F103" s="397"/>
      <c r="G103" s="397"/>
      <c r="H103" s="397"/>
      <c r="I103" s="397"/>
      <c r="J103" s="397"/>
      <c r="K103" s="397"/>
    </row>
    <row r="104" spans="1:11">
      <c r="A104" s="397"/>
      <c r="B104" s="397"/>
      <c r="C104" s="397"/>
      <c r="D104" s="397"/>
      <c r="E104" s="397"/>
      <c r="F104" s="397"/>
      <c r="G104" s="397"/>
      <c r="H104" s="397"/>
      <c r="I104" s="397"/>
      <c r="J104" s="397"/>
      <c r="K104" s="397"/>
    </row>
  </sheetData>
  <autoFilter ref="A1:BB78" xr:uid="{BD30285D-3F4B-47FA-A11D-96046964CD7B}">
    <filterColumn colId="15">
      <filters>
        <filter val="M1. Formar 26.100 mujeres en sus derechos a través de procesos de desarrollo de capacidades en el uso TIC"/>
      </filters>
    </filterColumn>
    <filterColumn colId="16">
      <filters>
        <filter val="33%"/>
        <filter val="71%"/>
        <filter val="81%"/>
        <filter val="86%"/>
        <filter val="91%"/>
        <filter val="95%"/>
      </filters>
    </filterColumn>
  </autoFilter>
  <phoneticPr fontId="59" type="noConversion"/>
  <printOptions horizontalCentered="1"/>
  <pageMargins left="0.19685039370078741" right="0.19685039370078741" top="0.19685039370078741" bottom="0.19685039370078741" header="0" footer="0"/>
  <pageSetup scale="21"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3" ma:contentTypeDescription="Crear nuevo documento." ma:contentTypeScope="" ma:versionID="088431767ceebc0847586a0f112f3e01">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896deb7edc2afb896f8caa68ca3f6117"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842F72-2BDE-4EC5-BDFF-1854F1AD8CDF}">
  <ds:schemaRefs>
    <ds:schemaRef ds:uri="bfb5676e-0d71-42df-8fc5-13002709b90b"/>
    <ds:schemaRef ds:uri="http://purl.org/dc/terms/"/>
    <ds:schemaRef ds:uri="f5e60779-6af5-4dde-a1c8-ebb5582c629e"/>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s>
</ds:datastoreItem>
</file>

<file path=customXml/itemProps2.xml><?xml version="1.0" encoding="utf-8"?>
<ds:datastoreItem xmlns:ds="http://schemas.openxmlformats.org/officeDocument/2006/customXml" ds:itemID="{75027E55-21AF-4114-B088-3EACC18861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4</vt:i4>
      </vt:variant>
    </vt:vector>
  </HeadingPairs>
  <TitlesOfParts>
    <vt:vector size="19" baseType="lpstr">
      <vt:lpstr>Meta 1</vt:lpstr>
      <vt:lpstr>Meta 2</vt:lpstr>
      <vt:lpstr>Meta 3</vt:lpstr>
      <vt:lpstr>Meta 4</vt:lpstr>
      <vt:lpstr>Meta 1..n</vt:lpstr>
      <vt:lpstr>Indicadores PA</vt:lpstr>
      <vt:lpstr>Territorialización PA</vt:lpstr>
      <vt:lpstr>Prog.Pptal</vt:lpstr>
      <vt:lpstr>Vigencia</vt:lpstr>
      <vt:lpstr>Reserva</vt:lpstr>
      <vt:lpstr>Instructivo</vt:lpstr>
      <vt:lpstr>Generalidades</vt:lpstr>
      <vt:lpstr>Hoja2</vt:lpstr>
      <vt:lpstr>Hoja13</vt:lpstr>
      <vt:lpstr>Hoja1</vt:lpstr>
      <vt:lpstr>'Meta 1'!Área_de_impresión</vt:lpstr>
      <vt:lpstr>'Meta 2'!Área_de_impresión</vt:lpstr>
      <vt:lpstr>'Meta 3'!Área_de_impresión</vt:lpstr>
      <vt:lpstr>'Meta 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MARCELA FORERO RUIZ</cp:lastModifiedBy>
  <cp:revision/>
  <cp:lastPrinted>2022-02-08T02:58:42Z</cp:lastPrinted>
  <dcterms:created xsi:type="dcterms:W3CDTF">2011-04-26T22:16:52Z</dcterms:created>
  <dcterms:modified xsi:type="dcterms:W3CDTF">2022-02-11T20:13:43Z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ies>
</file>